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codeName="ThisWorkbook" defaultThemeVersion="124226"/>
  <mc:AlternateContent xmlns:mc="http://schemas.openxmlformats.org/markup-compatibility/2006">
    <mc:Choice Requires="x15">
      <x15ac:absPath xmlns:x15ac="http://schemas.microsoft.com/office/spreadsheetml/2010/11/ac" url="C:\Users\John\Documents\Equipment &amp; methods\Calculators\Optimiz_tool\"/>
    </mc:Choice>
  </mc:AlternateContent>
  <bookViews>
    <workbookView xWindow="165" yWindow="1305" windowWidth="17625" windowHeight="6840" tabRatio="712"/>
  </bookViews>
  <sheets>
    <sheet name="RLC 2 para" sheetId="2" r:id="rId1"/>
    <sheet name="RLC 3 para" sheetId="1" r:id="rId2"/>
    <sheet name="PI with resp" sheetId="4" r:id="rId3"/>
    <sheet name="Recovery" sheetId="5" r:id="rId4"/>
    <sheet name="Recovery 2" sheetId="14" r:id="rId5"/>
    <sheet name="readme" sheetId="3" r:id="rId6"/>
  </sheets>
  <definedNames>
    <definedName name="solver_adj" localSheetId="0" hidden="1">'RLC 2 para'!$H$2:$H$3</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tr" localSheetId="0" hidden="1">2147483647</definedName>
    <definedName name="solver_lhs1" localSheetId="0" hidden="1">'RLC 2 para'!$H$3</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1</definedName>
    <definedName name="solver_nwt" localSheetId="0" hidden="1">1</definedName>
    <definedName name="solver_opt" localSheetId="0" hidden="1">'RLC 2 para'!$G$7</definedName>
    <definedName name="solver_pre" localSheetId="0" hidden="1">0.000001</definedName>
    <definedName name="solver_rbv" localSheetId="0" hidden="1">1</definedName>
    <definedName name="solver_rel1" localSheetId="0" hidden="1">3</definedName>
    <definedName name="solver_rhs1" localSheetId="0" hidden="1">0.00001</definedName>
    <definedName name="solver_rlx" localSheetId="0" hidden="1">2</definedName>
    <definedName name="solver_rsd" localSheetId="0" hidden="1">0</definedName>
    <definedName name="solver_scl" localSheetId="0" hidden="1">1</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2</definedName>
    <definedName name="solver_val" localSheetId="0" hidden="1">0</definedName>
    <definedName name="solver_ver" localSheetId="0" hidden="1">3</definedName>
  </definedNames>
  <calcPr calcId="162913"/>
  <fileRecoveryPr autoRecover="0"/>
</workbook>
</file>

<file path=xl/calcChain.xml><?xml version="1.0" encoding="utf-8"?>
<calcChain xmlns="http://schemas.openxmlformats.org/spreadsheetml/2006/main">
  <c r="C2" i="4" l="1"/>
  <c r="E2" i="4"/>
  <c r="G15" i="4" s="1"/>
  <c r="G6" i="2"/>
  <c r="P15" i="5"/>
  <c r="C6" i="14"/>
  <c r="C7" i="14"/>
  <c r="C8" i="14"/>
  <c r="C9" i="14"/>
  <c r="C10" i="14"/>
  <c r="C11" i="14"/>
  <c r="C12" i="14"/>
  <c r="C13" i="14"/>
  <c r="C14" i="14"/>
  <c r="C15" i="14"/>
  <c r="C16" i="14"/>
  <c r="C17" i="14"/>
  <c r="C2" i="5"/>
  <c r="C3" i="5"/>
  <c r="C4" i="5"/>
  <c r="C5" i="5"/>
  <c r="Q15" i="5"/>
  <c r="P16" i="5"/>
  <c r="Q16" i="5"/>
  <c r="C2" i="14"/>
  <c r="C3" i="14"/>
  <c r="C4" i="14"/>
  <c r="C5" i="14"/>
  <c r="D2" i="4"/>
  <c r="G14" i="4" s="1"/>
  <c r="C3" i="4"/>
  <c r="D3" i="4"/>
  <c r="C4" i="4"/>
  <c r="D4" i="4"/>
  <c r="C5" i="4"/>
  <c r="D5" i="4"/>
  <c r="C6" i="4"/>
  <c r="D6" i="4"/>
  <c r="H6" i="4"/>
  <c r="I6" i="4"/>
  <c r="C7" i="4"/>
  <c r="D7" i="4"/>
  <c r="H7" i="4"/>
  <c r="I7" i="4"/>
  <c r="C8" i="4"/>
  <c r="D8" i="4"/>
  <c r="H8" i="4"/>
  <c r="I8" i="4"/>
  <c r="C9" i="4"/>
  <c r="D9" i="4"/>
  <c r="C10" i="4"/>
  <c r="D10" i="4"/>
  <c r="C11" i="4"/>
  <c r="D11" i="4"/>
  <c r="C12" i="4"/>
  <c r="D12" i="4"/>
  <c r="G13" i="4"/>
  <c r="C2" i="2"/>
  <c r="D2" i="2" s="1"/>
  <c r="J2" i="2"/>
  <c r="C3" i="2"/>
  <c r="D3" i="2" s="1"/>
  <c r="J3" i="2"/>
  <c r="C4" i="2"/>
  <c r="D4" i="2" s="1"/>
  <c r="C5" i="2"/>
  <c r="D5" i="2" s="1"/>
  <c r="H5" i="2"/>
  <c r="C6" i="2"/>
  <c r="D6" i="2" s="1"/>
  <c r="C7" i="2"/>
  <c r="D7" i="2" s="1"/>
  <c r="P7" i="2"/>
  <c r="C8" i="2"/>
  <c r="D8" i="2" s="1"/>
  <c r="C9" i="2"/>
  <c r="D9" i="2" s="1"/>
  <c r="C10" i="2"/>
  <c r="D10" i="2" s="1"/>
  <c r="M11" i="2"/>
  <c r="M14" i="2" s="1"/>
  <c r="M15" i="2" s="1"/>
  <c r="Q7" i="2" s="1"/>
  <c r="M12" i="2"/>
  <c r="C2" i="1"/>
  <c r="D2" i="1" s="1"/>
  <c r="E2" i="1"/>
  <c r="C3" i="1"/>
  <c r="D3" i="1"/>
  <c r="E3" i="1"/>
  <c r="G12" i="1" s="1"/>
  <c r="C4" i="1"/>
  <c r="D4" i="1"/>
  <c r="E4" i="1"/>
  <c r="G11" i="1" s="1"/>
  <c r="C5" i="1"/>
  <c r="D5" i="1" s="1"/>
  <c r="E5" i="1"/>
  <c r="H5" i="1"/>
  <c r="H6" i="1" s="1"/>
  <c r="C6" i="1"/>
  <c r="D6" i="1" s="1"/>
  <c r="E6" i="1"/>
  <c r="C7" i="1"/>
  <c r="D7" i="1"/>
  <c r="E7" i="1"/>
  <c r="C8" i="1"/>
  <c r="D8" i="1" s="1"/>
  <c r="E8" i="1"/>
  <c r="C9" i="1"/>
  <c r="D9" i="1" s="1"/>
  <c r="E9" i="1"/>
  <c r="G9" i="1"/>
  <c r="C10" i="1"/>
  <c r="D10" i="1" s="1"/>
  <c r="E10" i="1"/>
  <c r="G20" i="1"/>
  <c r="G21" i="1"/>
  <c r="G23" i="1"/>
  <c r="G24" i="1" s="1"/>
  <c r="I6" i="1" s="1"/>
  <c r="H10" i="4"/>
  <c r="H9" i="4"/>
  <c r="E9" i="4"/>
  <c r="E5" i="4"/>
  <c r="E10" i="4"/>
  <c r="E6" i="4"/>
  <c r="E12" i="4"/>
  <c r="E6" i="2"/>
  <c r="E9" i="2"/>
  <c r="E10" i="2"/>
  <c r="E3" i="2"/>
  <c r="G7" i="2" l="1"/>
  <c r="G17" i="4"/>
  <c r="G10" i="1"/>
  <c r="E5" i="2"/>
  <c r="E2" i="2"/>
  <c r="E7" i="2"/>
  <c r="E8" i="2"/>
  <c r="E4" i="2"/>
  <c r="E11" i="4"/>
  <c r="E4" i="4"/>
  <c r="E7" i="4"/>
  <c r="E3" i="4"/>
  <c r="E8" i="4"/>
  <c r="G14" i="2" l="1"/>
  <c r="G10" i="2"/>
  <c r="G18" i="4"/>
  <c r="G8" i="2"/>
  <c r="G9" i="2"/>
  <c r="G13" i="1"/>
  <c r="G14" i="1" s="1"/>
  <c r="G16" i="1"/>
  <c r="G17" i="1" s="1"/>
  <c r="G11" i="2" l="1"/>
  <c r="G15" i="2"/>
</calcChain>
</file>

<file path=xl/sharedStrings.xml><?xml version="1.0" encoding="utf-8"?>
<sst xmlns="http://schemas.openxmlformats.org/spreadsheetml/2006/main" count="151" uniqueCount="79">
  <si>
    <t>Parameters</t>
  </si>
  <si>
    <t>a=</t>
  </si>
  <si>
    <t>b=</t>
  </si>
  <si>
    <t>c=</t>
  </si>
  <si>
    <t>ETRmax</t>
  </si>
  <si>
    <t>alpha</t>
  </si>
  <si>
    <t>beta</t>
  </si>
  <si>
    <t>x</t>
  </si>
  <si>
    <t>y</t>
  </si>
  <si>
    <t>y*</t>
  </si>
  <si>
    <t xml:space="preserve"> .UserFunction = "y1=ETRs*(1-exp(-a*x1/ETRs))*(exp(-b*x1/ETRs))"</t>
  </si>
  <si>
    <t>ETRs</t>
  </si>
  <si>
    <t>sd</t>
  </si>
  <si>
    <t>value</t>
  </si>
  <si>
    <t xml:space="preserve">Optimization Tool </t>
  </si>
  <si>
    <t xml:space="preserve">and Equations Solver </t>
  </si>
  <si>
    <t>For EXCEL</t>
  </si>
  <si>
    <t>Foxes Team.</t>
  </si>
  <si>
    <t xml:space="preserve">OPTIMIZ for Microsoft EXCEL contains macros performing the optimization of multivariable functions. This addin contains also several routines for nonlinear regression, and nonlinear equations solving, two tasks strictly related to the optimization. </t>
  </si>
  <si>
    <t>Except in linear cases, optimization proceeds by iterations. Starting from an approximate trial solution, the algorithm will gradually refine the working estimate until a prefixed precision has been reached. This addin contains a few algorithms for different kind of optimization problems. All of them are realized by Excel macros and can be activated from the menu:  "Tools \ Optimiz..."</t>
  </si>
  <si>
    <t xml:space="preserve">The macros work "on-site". It means that they operate directly on the cells of your worksheet where you have defined the problem to optimize or to solve. </t>
  </si>
  <si>
    <t>This addin has been developed mainly with the aim of showing the most popular algorithms and their related methods. But, of course, they are also useful in practical real problems of low-moderate dimension. Algorithms covered by this tool are: Nelder-Mead Downhill-Simplex, Newton-Raphson, Levenberg-Marquadt, Conjugate-Gradient, Davidon-Fletcher-Powell, Broyden, MonteCarlo, and many other.</t>
  </si>
  <si>
    <t xml:space="preserve">Contents </t>
  </si>
  <si>
    <t xml:space="preserve">Credits </t>
  </si>
  <si>
    <t>By Leonardo Volpi</t>
  </si>
  <si>
    <t xml:space="preserve">Foxes Team </t>
  </si>
  <si>
    <t xml:space="preserve"> .UserFunction = "y1=ETRmax*(1-exp(-a*x1/ETRmax))"</t>
  </si>
  <si>
    <t>Pmax</t>
  </si>
  <si>
    <t>Rd</t>
  </si>
  <si>
    <t xml:space="preserve">    .UserFunction = "y1 = Yzero+A*(1-exp(-B*x1))+C*(1-exp(-D*x1))"</t>
  </si>
  <si>
    <t>A</t>
  </si>
  <si>
    <t>B</t>
  </si>
  <si>
    <t>C</t>
  </si>
  <si>
    <t>D</t>
  </si>
  <si>
    <t>d=</t>
  </si>
  <si>
    <t>E</t>
  </si>
  <si>
    <t>e=</t>
  </si>
  <si>
    <t>Ek</t>
  </si>
  <si>
    <t xml:space="preserve"> .UserFunction = "y1=Rd+Pmax*(1-exp(-alpha*x1/Pmax))"</t>
  </si>
  <si>
    <t>Mean y</t>
  </si>
  <si>
    <t>SStot</t>
  </si>
  <si>
    <t>y-y*</t>
  </si>
  <si>
    <t>y-mean</t>
  </si>
  <si>
    <t>SSerr</t>
  </si>
  <si>
    <t>R^2</t>
  </si>
  <si>
    <t>R</t>
  </si>
  <si>
    <t>significant</t>
  </si>
  <si>
    <t>df</t>
  </si>
  <si>
    <t>variance</t>
  </si>
  <si>
    <t>± 95%CI</t>
  </si>
  <si>
    <t>error</t>
  </si>
  <si>
    <t>Ec=resp/alpha</t>
  </si>
  <si>
    <t>Pmax'</t>
  </si>
  <si>
    <t>Ec</t>
  </si>
  <si>
    <t>Ek=Pmax/alpha</t>
  </si>
  <si>
    <t>gross</t>
  </si>
  <si>
    <t>net</t>
  </si>
  <si>
    <t>assimilated</t>
  </si>
  <si>
    <t>taken up</t>
  </si>
  <si>
    <t>difference (assim/taken up)</t>
  </si>
  <si>
    <t>Mean</t>
  </si>
  <si>
    <t>se</t>
  </si>
  <si>
    <t>mean</t>
  </si>
  <si>
    <t>Calculations</t>
  </si>
  <si>
    <t>partial .dx</t>
  </si>
  <si>
    <t>partial .dy</t>
  </si>
  <si>
    <t>error sqr</t>
  </si>
  <si>
    <t>Ek error calculations</t>
  </si>
  <si>
    <t xml:space="preserve">    .UserFunction = "y1 = A*(1-exp(-B*x1))+C*(1-exp(-D*x1))"</t>
  </si>
  <si>
    <t>a</t>
  </si>
  <si>
    <t>b</t>
  </si>
  <si>
    <t>c</t>
  </si>
  <si>
    <t>d</t>
  </si>
  <si>
    <t xml:space="preserve">t(1/2) </t>
  </si>
  <si>
    <t>comp size</t>
  </si>
  <si>
    <t>t1/2(b)</t>
  </si>
  <si>
    <t>t1/2(d)</t>
  </si>
  <si>
    <t>Two compartment rise model</t>
  </si>
  <si>
    <t>Two compartment rise model, not starting at origin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</si>
</sst>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E+000"/>
    <numFmt numFmtId="166" formatCode="0.0%"/>
  </numFmts>
  <fonts count="6" x14ac:knownFonts="1">
    <font>
      <sz val="10"/>
      <name val="Arial"/>
    </font>
    <font>
      <sz val="8"/>
      <name val="Arial"/>
      <family val="2"/>
    </font>
    <font>
      <sz val="10"/>
      <name val="Arial"/>
      <family val="2"/>
    </font>
    <font>
      <b/>
      <sz val="10"/>
      <name val="Arial"/>
      <family val="2"/>
    </font>
    <font>
      <b/>
      <i/>
      <sz val="10"/>
      <name val="Arial"/>
      <family val="2"/>
    </font>
    <font>
      <i/>
      <sz val="1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cellStyleXfs>
  <cellXfs count="14">
    <xf numFmtId="0" fontId="0" fillId="0" borderId="0" xfId="0"/>
    <xf numFmtId="0" fontId="0" fillId="0" borderId="0" xfId="0" applyNumberFormat="1"/>
    <xf numFmtId="2" fontId="0" fillId="0" borderId="0" xfId="0" applyNumberFormat="1"/>
    <xf numFmtId="0" fontId="2" fillId="0" borderId="0" xfId="0" applyFont="1"/>
    <xf numFmtId="164" fontId="0" fillId="0" borderId="0" xfId="0" applyNumberFormat="1"/>
    <xf numFmtId="1" fontId="0" fillId="0" borderId="0" xfId="0" applyNumberFormat="1"/>
    <xf numFmtId="0" fontId="3" fillId="0" borderId="0" xfId="0" applyFont="1"/>
    <xf numFmtId="0" fontId="4" fillId="0" borderId="0" xfId="0" applyFont="1"/>
    <xf numFmtId="0" fontId="5" fillId="0" borderId="0" xfId="0" applyFont="1"/>
    <xf numFmtId="16" fontId="2" fillId="0" borderId="0" xfId="0" applyNumberFormat="1" applyFont="1"/>
    <xf numFmtId="165" fontId="2" fillId="0" borderId="0" xfId="0" applyNumberFormat="1" applyFont="1"/>
    <xf numFmtId="0" fontId="2" fillId="0" borderId="0" xfId="0" applyFont="1" applyBorder="1"/>
    <xf numFmtId="166" fontId="2" fillId="0" borderId="0" xfId="0" applyNumberFormat="1" applyFont="1" applyBorder="1"/>
    <xf numFmtId="2" fontId="2" fillId="0" borderId="0" xfId="0" applyNumberFormat="1" applyFo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'RLC 2 para'!$B$1</c:f>
              <c:strCache>
                <c:ptCount val="1"/>
                <c:pt idx="0">
                  <c:v>y</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'RLC 2 para'!$A$2:$A$10</c:f>
              <c:numCache>
                <c:formatCode>General</c:formatCode>
                <c:ptCount val="9"/>
                <c:pt idx="0">
                  <c:v>0</c:v>
                </c:pt>
                <c:pt idx="1">
                  <c:v>2.9</c:v>
                </c:pt>
                <c:pt idx="2">
                  <c:v>4.4000000000000004</c:v>
                </c:pt>
                <c:pt idx="3">
                  <c:v>6.6</c:v>
                </c:pt>
                <c:pt idx="4">
                  <c:v>9.9</c:v>
                </c:pt>
                <c:pt idx="5">
                  <c:v>14.8</c:v>
                </c:pt>
                <c:pt idx="6">
                  <c:v>22.2</c:v>
                </c:pt>
                <c:pt idx="7">
                  <c:v>33.299999999999997</c:v>
                </c:pt>
                <c:pt idx="8">
                  <c:v>50</c:v>
                </c:pt>
              </c:numCache>
            </c:numRef>
          </c:xVal>
          <c:yVal>
            <c:numRef>
              <c:f>'RLC 2 para'!$B$2:$B$10</c:f>
              <c:numCache>
                <c:formatCode>General</c:formatCode>
                <c:ptCount val="9"/>
                <c:pt idx="0">
                  <c:v>0</c:v>
                </c:pt>
                <c:pt idx="1">
                  <c:v>1.8356999999999999</c:v>
                </c:pt>
                <c:pt idx="2">
                  <c:v>2.4815999999999998</c:v>
                </c:pt>
                <c:pt idx="3">
                  <c:v>3.6894</c:v>
                </c:pt>
                <c:pt idx="4">
                  <c:v>5.2470000000000008</c:v>
                </c:pt>
                <c:pt idx="5">
                  <c:v>7.2519999999999998</c:v>
                </c:pt>
                <c:pt idx="6">
                  <c:v>9.7679999999999989</c:v>
                </c:pt>
                <c:pt idx="7">
                  <c:v>12.520799999999999</c:v>
                </c:pt>
                <c:pt idx="8">
                  <c:v>15.049999999999999</c:v>
                </c:pt>
              </c:numCache>
            </c:numRef>
          </c:yVal>
          <c:smooth val="1"/>
          <c:extLst>
            <c:ext xmlns:c16="http://schemas.microsoft.com/office/drawing/2014/chart" uri="{C3380CC4-5D6E-409C-BE32-E72D297353CC}">
              <c16:uniqueId val="{00000000-9123-471B-89F7-99CE7002DD38}"/>
            </c:ext>
          </c:extLst>
        </c:ser>
        <c:ser>
          <c:idx val="1"/>
          <c:order val="1"/>
          <c:tx>
            <c:strRef>
              <c:f>'RLC 2 para'!$C$1</c:f>
              <c:strCache>
                <c:ptCount val="1"/>
                <c:pt idx="0">
                  <c:v>y*</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'RLC 2 para'!$A$2:$A$10</c:f>
              <c:numCache>
                <c:formatCode>General</c:formatCode>
                <c:ptCount val="9"/>
                <c:pt idx="0">
                  <c:v>0</c:v>
                </c:pt>
                <c:pt idx="1">
                  <c:v>2.9</c:v>
                </c:pt>
                <c:pt idx="2">
                  <c:v>4.4000000000000004</c:v>
                </c:pt>
                <c:pt idx="3">
                  <c:v>6.6</c:v>
                </c:pt>
                <c:pt idx="4">
                  <c:v>9.9</c:v>
                </c:pt>
                <c:pt idx="5">
                  <c:v>14.8</c:v>
                </c:pt>
                <c:pt idx="6">
                  <c:v>22.2</c:v>
                </c:pt>
                <c:pt idx="7">
                  <c:v>33.299999999999997</c:v>
                </c:pt>
                <c:pt idx="8">
                  <c:v>50</c:v>
                </c:pt>
              </c:numCache>
            </c:numRef>
          </c:xVal>
          <c:yVal>
            <c:numRef>
              <c:f>'RLC 2 para'!$C$2:$C$10</c:f>
              <c:numCache>
                <c:formatCode>General</c:formatCode>
                <c:ptCount val="9"/>
                <c:pt idx="0">
                  <c:v>0</c:v>
                </c:pt>
                <c:pt idx="1">
                  <c:v>1.7263341468745401</c:v>
                </c:pt>
                <c:pt idx="2">
                  <c:v>2.5549759447888807</c:v>
                </c:pt>
                <c:pt idx="3">
                  <c:v>3.6967248040922636</c:v>
                </c:pt>
                <c:pt idx="4">
                  <c:v>5.2576513964533271</c:v>
                </c:pt>
                <c:pt idx="5">
                  <c:v>7.2764667523092843</c:v>
                </c:pt>
                <c:pt idx="6">
                  <c:v>9.7562238261444509</c:v>
                </c:pt>
                <c:pt idx="7">
                  <c:v>12.485258918297703</c:v>
                </c:pt>
                <c:pt idx="8">
                  <c:v>15.069824022550973</c:v>
                </c:pt>
              </c:numCache>
            </c:numRef>
          </c:yVal>
          <c:smooth val="1"/>
          <c:extLst>
            <c:ext xmlns:c16="http://schemas.microsoft.com/office/drawing/2014/chart" uri="{C3380CC4-5D6E-409C-BE32-E72D297353CC}">
              <c16:uniqueId val="{00000001-9123-471B-89F7-99CE7002DD38}"/>
            </c:ext>
          </c:extLst>
        </c:ser>
        <c:dLbls>
          <c:showLegendKey val="0"/>
          <c:showVal val="0"/>
          <c:showCatName val="0"/>
          <c:showSerName val="0"/>
          <c:showPercent val="0"/>
          <c:showBubbleSize val="0"/>
        </c:dLbls>
        <c:axId val="269750575"/>
        <c:axId val="197356079"/>
      </c:scatterChart>
      <c:valAx>
        <c:axId val="26975057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7356079"/>
        <c:crosses val="autoZero"/>
        <c:crossBetween val="midCat"/>
      </c:valAx>
      <c:valAx>
        <c:axId val="1973560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9750575"/>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673552767810078E-2"/>
          <c:y val="8.8737201365187715E-2"/>
          <c:w val="0.77551097687238613"/>
          <c:h val="0.75767918088737196"/>
        </c:manualLayout>
      </c:layout>
      <c:scatterChart>
        <c:scatterStyle val="lineMarker"/>
        <c:varyColors val="0"/>
        <c:ser>
          <c:idx val="0"/>
          <c:order val="0"/>
          <c:tx>
            <c:strRef>
              <c:f>'RLC 3 para'!$B$1</c:f>
              <c:strCache>
                <c:ptCount val="1"/>
                <c:pt idx="0">
                  <c:v>y</c:v>
                </c:pt>
              </c:strCache>
            </c:strRef>
          </c:tx>
          <c:spPr>
            <a:ln w="28575">
              <a:noFill/>
            </a:ln>
          </c:spPr>
          <c:marker>
            <c:symbol val="diamond"/>
            <c:size val="5"/>
            <c:spPr>
              <a:solidFill>
                <a:srgbClr val="000080"/>
              </a:solidFill>
              <a:ln>
                <a:solidFill>
                  <a:srgbClr val="000080"/>
                </a:solidFill>
                <a:prstDash val="solid"/>
              </a:ln>
            </c:spPr>
          </c:marker>
          <c:xVal>
            <c:numRef>
              <c:f>'RLC 3 para'!$A$2:$A$22</c:f>
              <c:numCache>
                <c:formatCode>General</c:formatCode>
                <c:ptCount val="21"/>
                <c:pt idx="0">
                  <c:v>0</c:v>
                </c:pt>
                <c:pt idx="1">
                  <c:v>18</c:v>
                </c:pt>
                <c:pt idx="2">
                  <c:v>67</c:v>
                </c:pt>
                <c:pt idx="3">
                  <c:v>91</c:v>
                </c:pt>
                <c:pt idx="4">
                  <c:v>148</c:v>
                </c:pt>
                <c:pt idx="5">
                  <c:v>256</c:v>
                </c:pt>
                <c:pt idx="6">
                  <c:v>381</c:v>
                </c:pt>
                <c:pt idx="7">
                  <c:v>609</c:v>
                </c:pt>
                <c:pt idx="8">
                  <c:v>927</c:v>
                </c:pt>
              </c:numCache>
            </c:numRef>
          </c:xVal>
          <c:yVal>
            <c:numRef>
              <c:f>'RLC 3 para'!$B$2:$B$22</c:f>
              <c:numCache>
                <c:formatCode>General</c:formatCode>
                <c:ptCount val="21"/>
                <c:pt idx="0">
                  <c:v>0</c:v>
                </c:pt>
                <c:pt idx="1">
                  <c:v>4.0995990000000004</c:v>
                </c:pt>
                <c:pt idx="2">
                  <c:v>15.212953000000002</c:v>
                </c:pt>
                <c:pt idx="3">
                  <c:v>15.0214155</c:v>
                </c:pt>
                <c:pt idx="4">
                  <c:v>24.378892999999998</c:v>
                </c:pt>
                <c:pt idx="5">
                  <c:v>26.923904</c:v>
                </c:pt>
                <c:pt idx="6">
                  <c:v>27.863482499999996</c:v>
                </c:pt>
                <c:pt idx="7">
                  <c:v>25.450109999999999</c:v>
                </c:pt>
                <c:pt idx="8">
                  <c:v>22.597942500000002</c:v>
                </c:pt>
              </c:numCache>
            </c:numRef>
          </c:yVal>
          <c:smooth val="0"/>
          <c:extLst>
            <c:ext xmlns:c16="http://schemas.microsoft.com/office/drawing/2014/chart" uri="{C3380CC4-5D6E-409C-BE32-E72D297353CC}">
              <c16:uniqueId val="{00000000-C90B-41B4-BA05-4DC097E57566}"/>
            </c:ext>
          </c:extLst>
        </c:ser>
        <c:ser>
          <c:idx val="1"/>
          <c:order val="1"/>
          <c:tx>
            <c:strRef>
              <c:f>'RLC 3 para'!$C$1</c:f>
              <c:strCache>
                <c:ptCount val="1"/>
                <c:pt idx="0">
                  <c:v>y*</c:v>
                </c:pt>
              </c:strCache>
            </c:strRef>
          </c:tx>
          <c:spPr>
            <a:ln w="28575">
              <a:noFill/>
            </a:ln>
          </c:spPr>
          <c:marker>
            <c:symbol val="square"/>
            <c:size val="5"/>
            <c:spPr>
              <a:solidFill>
                <a:srgbClr val="FF00FF"/>
              </a:solidFill>
              <a:ln>
                <a:solidFill>
                  <a:srgbClr val="FF00FF"/>
                </a:solidFill>
                <a:prstDash val="solid"/>
              </a:ln>
            </c:spPr>
          </c:marker>
          <c:xVal>
            <c:numRef>
              <c:f>'RLC 3 para'!$A$2:$A$22</c:f>
              <c:numCache>
                <c:formatCode>General</c:formatCode>
                <c:ptCount val="21"/>
                <c:pt idx="0">
                  <c:v>0</c:v>
                </c:pt>
                <c:pt idx="1">
                  <c:v>18</c:v>
                </c:pt>
                <c:pt idx="2">
                  <c:v>67</c:v>
                </c:pt>
                <c:pt idx="3">
                  <c:v>91</c:v>
                </c:pt>
                <c:pt idx="4">
                  <c:v>148</c:v>
                </c:pt>
                <c:pt idx="5">
                  <c:v>256</c:v>
                </c:pt>
                <c:pt idx="6">
                  <c:v>381</c:v>
                </c:pt>
                <c:pt idx="7">
                  <c:v>609</c:v>
                </c:pt>
                <c:pt idx="8">
                  <c:v>927</c:v>
                </c:pt>
              </c:numCache>
            </c:numRef>
          </c:xVal>
          <c:yVal>
            <c:numRef>
              <c:f>'RLC 3 para'!$C$2:$C$22</c:f>
              <c:numCache>
                <c:formatCode>General</c:formatCode>
                <c:ptCount val="21"/>
                <c:pt idx="0">
                  <c:v>0</c:v>
                </c:pt>
                <c:pt idx="1">
                  <c:v>0</c:v>
                </c:pt>
                <c:pt idx="2">
                  <c:v>0</c:v>
                </c:pt>
                <c:pt idx="3">
                  <c:v>0</c:v>
                </c:pt>
                <c:pt idx="4">
                  <c:v>25.711080297958976</c:v>
                </c:pt>
                <c:pt idx="5">
                  <c:v>18.643155928877338</c:v>
                </c:pt>
                <c:pt idx="6">
                  <c:v>12.851219002955327</c:v>
                </c:pt>
                <c:pt idx="7">
                  <c:v>13.039511585351844</c:v>
                </c:pt>
                <c:pt idx="8">
                  <c:v>7.5911139482835432</c:v>
                </c:pt>
              </c:numCache>
            </c:numRef>
          </c:yVal>
          <c:smooth val="0"/>
          <c:extLst>
            <c:ext xmlns:c16="http://schemas.microsoft.com/office/drawing/2014/chart" uri="{C3380CC4-5D6E-409C-BE32-E72D297353CC}">
              <c16:uniqueId val="{00000001-C90B-41B4-BA05-4DC097E57566}"/>
            </c:ext>
          </c:extLst>
        </c:ser>
        <c:dLbls>
          <c:showLegendKey val="0"/>
          <c:showVal val="0"/>
          <c:showCatName val="0"/>
          <c:showSerName val="0"/>
          <c:showPercent val="0"/>
          <c:showBubbleSize val="0"/>
        </c:dLbls>
        <c:axId val="1039778991"/>
        <c:axId val="1"/>
      </c:scatterChart>
      <c:valAx>
        <c:axId val="1039778991"/>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039778991"/>
        <c:crosses val="autoZero"/>
        <c:crossBetween val="midCat"/>
      </c:valAx>
      <c:spPr>
        <a:solidFill>
          <a:srgbClr val="C0C0C0"/>
        </a:solidFill>
        <a:ln w="12700">
          <a:solidFill>
            <a:srgbClr val="808080"/>
          </a:solidFill>
          <a:prstDash val="solid"/>
        </a:ln>
      </c:spPr>
    </c:plotArea>
    <c:legend>
      <c:legendPos val="r"/>
      <c:layout>
        <c:manualLayout>
          <c:xMode val="edge"/>
          <c:yMode val="edge"/>
          <c:x val="0.91836820397450314"/>
          <c:y val="0.39590443686006827"/>
          <c:w val="6.5306122448979598E-2"/>
          <c:h val="0.14675767918088733"/>
        </c:manualLayout>
      </c:layout>
      <c:overlay val="0"/>
      <c:spPr>
        <a:solidFill>
          <a:srgbClr val="FFFFFF"/>
        </a:solidFill>
        <a:ln w="3175">
          <a:solidFill>
            <a:srgbClr val="000000"/>
          </a:solidFill>
          <a:prstDash val="solid"/>
        </a:ln>
      </c:spPr>
      <c:txPr>
        <a:bodyPr/>
        <a:lstStyle/>
        <a:p>
          <a:pPr>
            <a:defRPr sz="6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673552767810078E-2"/>
          <c:y val="8.8737201365187715E-2"/>
          <c:w val="0.77551097687238613"/>
          <c:h val="0.82593856655290099"/>
        </c:manualLayout>
      </c:layout>
      <c:scatterChart>
        <c:scatterStyle val="lineMarker"/>
        <c:varyColors val="0"/>
        <c:ser>
          <c:idx val="0"/>
          <c:order val="0"/>
          <c:tx>
            <c:strRef>
              <c:f>'PI with resp'!$B$1</c:f>
              <c:strCache>
                <c:ptCount val="1"/>
                <c:pt idx="0">
                  <c:v>y</c:v>
                </c:pt>
              </c:strCache>
            </c:strRef>
          </c:tx>
          <c:spPr>
            <a:ln w="28575">
              <a:noFill/>
            </a:ln>
          </c:spPr>
          <c:marker>
            <c:symbol val="diamond"/>
            <c:size val="5"/>
            <c:spPr>
              <a:solidFill>
                <a:srgbClr val="000080"/>
              </a:solidFill>
              <a:ln>
                <a:solidFill>
                  <a:srgbClr val="000080"/>
                </a:solidFill>
                <a:prstDash val="solid"/>
              </a:ln>
            </c:spPr>
          </c:marker>
          <c:xVal>
            <c:numRef>
              <c:f>'PI with resp'!$A$2:$A$165</c:f>
              <c:numCache>
                <c:formatCode>General</c:formatCode>
                <c:ptCount val="164"/>
                <c:pt idx="0">
                  <c:v>1</c:v>
                </c:pt>
                <c:pt idx="1">
                  <c:v>8</c:v>
                </c:pt>
                <c:pt idx="2">
                  <c:v>16</c:v>
                </c:pt>
                <c:pt idx="3">
                  <c:v>32</c:v>
                </c:pt>
                <c:pt idx="4">
                  <c:v>64</c:v>
                </c:pt>
                <c:pt idx="5">
                  <c:v>96</c:v>
                </c:pt>
                <c:pt idx="6">
                  <c:v>128</c:v>
                </c:pt>
                <c:pt idx="7">
                  <c:v>160</c:v>
                </c:pt>
                <c:pt idx="8">
                  <c:v>192</c:v>
                </c:pt>
                <c:pt idx="9">
                  <c:v>224</c:v>
                </c:pt>
                <c:pt idx="10">
                  <c:v>255</c:v>
                </c:pt>
              </c:numCache>
            </c:numRef>
          </c:xVal>
          <c:yVal>
            <c:numRef>
              <c:f>'PI with resp'!$B$2:$B$165</c:f>
              <c:numCache>
                <c:formatCode>General</c:formatCode>
                <c:ptCount val="164"/>
                <c:pt idx="0">
                  <c:v>590.68999999999994</c:v>
                </c:pt>
                <c:pt idx="1">
                  <c:v>759</c:v>
                </c:pt>
                <c:pt idx="2">
                  <c:v>976.9000000000002</c:v>
                </c:pt>
                <c:pt idx="3">
                  <c:v>1390.14</c:v>
                </c:pt>
                <c:pt idx="4">
                  <c:v>1718.4699999999998</c:v>
                </c:pt>
                <c:pt idx="5">
                  <c:v>1787.58</c:v>
                </c:pt>
                <c:pt idx="6">
                  <c:v>1802.3800000000003</c:v>
                </c:pt>
                <c:pt idx="7">
                  <c:v>1827.2900000000002</c:v>
                </c:pt>
                <c:pt idx="8">
                  <c:v>1828</c:v>
                </c:pt>
                <c:pt idx="9">
                  <c:v>1838.0699999999997</c:v>
                </c:pt>
                <c:pt idx="10">
                  <c:v>1843.86</c:v>
                </c:pt>
              </c:numCache>
            </c:numRef>
          </c:yVal>
          <c:smooth val="0"/>
          <c:extLst>
            <c:ext xmlns:c16="http://schemas.microsoft.com/office/drawing/2014/chart" uri="{C3380CC4-5D6E-409C-BE32-E72D297353CC}">
              <c16:uniqueId val="{00000000-F340-4D7C-9100-8554E6B8EB52}"/>
            </c:ext>
          </c:extLst>
        </c:ser>
        <c:ser>
          <c:idx val="1"/>
          <c:order val="1"/>
          <c:tx>
            <c:strRef>
              <c:f>'PI with resp'!$C$1</c:f>
              <c:strCache>
                <c:ptCount val="1"/>
                <c:pt idx="0">
                  <c:v>y*</c:v>
                </c:pt>
              </c:strCache>
            </c:strRef>
          </c:tx>
          <c:spPr>
            <a:ln w="28575">
              <a:noFill/>
            </a:ln>
          </c:spPr>
          <c:marker>
            <c:symbol val="square"/>
            <c:size val="5"/>
            <c:spPr>
              <a:solidFill>
                <a:srgbClr val="FF00FF"/>
              </a:solidFill>
              <a:ln>
                <a:solidFill>
                  <a:srgbClr val="FF00FF"/>
                </a:solidFill>
                <a:prstDash val="solid"/>
              </a:ln>
            </c:spPr>
          </c:marker>
          <c:xVal>
            <c:numRef>
              <c:f>'PI with resp'!$A$2:$A$165</c:f>
              <c:numCache>
                <c:formatCode>General</c:formatCode>
                <c:ptCount val="164"/>
                <c:pt idx="0">
                  <c:v>1</c:v>
                </c:pt>
                <c:pt idx="1">
                  <c:v>8</c:v>
                </c:pt>
                <c:pt idx="2">
                  <c:v>16</c:v>
                </c:pt>
                <c:pt idx="3">
                  <c:v>32</c:v>
                </c:pt>
                <c:pt idx="4">
                  <c:v>64</c:v>
                </c:pt>
                <c:pt idx="5">
                  <c:v>96</c:v>
                </c:pt>
                <c:pt idx="6">
                  <c:v>128</c:v>
                </c:pt>
                <c:pt idx="7">
                  <c:v>160</c:v>
                </c:pt>
                <c:pt idx="8">
                  <c:v>192</c:v>
                </c:pt>
                <c:pt idx="9">
                  <c:v>224</c:v>
                </c:pt>
                <c:pt idx="10">
                  <c:v>255</c:v>
                </c:pt>
              </c:numCache>
            </c:numRef>
          </c:xVal>
          <c:yVal>
            <c:numRef>
              <c:f>'PI with resp'!$C$2:$C$165</c:f>
              <c:numCache>
                <c:formatCode>General</c:formatCode>
                <c:ptCount val="164"/>
                <c:pt idx="0">
                  <c:v>539.89191144447079</c:v>
                </c:pt>
                <c:pt idx="1">
                  <c:v>800.57102217380293</c:v>
                </c:pt>
                <c:pt idx="2">
                  <c:v>1035.2781629748599</c:v>
                </c:pt>
                <c:pt idx="3">
                  <c:v>1358.0698687568481</c:v>
                </c:pt>
                <c:pt idx="4">
                  <c:v>1668.2516349643188</c:v>
                </c:pt>
                <c:pt idx="5">
                  <c:v>1780.0752461786906</c:v>
                </c:pt>
                <c:pt idx="6">
                  <c:v>1820.3887700131611</c:v>
                </c:pt>
                <c:pt idx="7">
                  <c:v>1834.9221962395497</c:v>
                </c:pt>
                <c:pt idx="8">
                  <c:v>1840.1616409168535</c:v>
                </c:pt>
                <c:pt idx="9">
                  <c:v>1842.0505128248885</c:v>
                </c:pt>
                <c:pt idx="10">
                  <c:v>1842.7190335125556</c:v>
                </c:pt>
              </c:numCache>
            </c:numRef>
          </c:yVal>
          <c:smooth val="0"/>
          <c:extLst>
            <c:ext xmlns:c16="http://schemas.microsoft.com/office/drawing/2014/chart" uri="{C3380CC4-5D6E-409C-BE32-E72D297353CC}">
              <c16:uniqueId val="{00000001-F340-4D7C-9100-8554E6B8EB52}"/>
            </c:ext>
          </c:extLst>
        </c:ser>
        <c:dLbls>
          <c:showLegendKey val="0"/>
          <c:showVal val="0"/>
          <c:showCatName val="0"/>
          <c:showSerName val="0"/>
          <c:showPercent val="0"/>
          <c:showBubbleSize val="0"/>
        </c:dLbls>
        <c:axId val="1039799727"/>
        <c:axId val="1"/>
      </c:scatterChart>
      <c:valAx>
        <c:axId val="1039799727"/>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039799727"/>
        <c:crosses val="autoZero"/>
        <c:crossBetween val="midCat"/>
      </c:valAx>
      <c:spPr>
        <a:solidFill>
          <a:srgbClr val="C0C0C0"/>
        </a:solidFill>
        <a:ln w="12700">
          <a:solidFill>
            <a:srgbClr val="808080"/>
          </a:solidFill>
          <a:prstDash val="solid"/>
        </a:ln>
      </c:spPr>
    </c:plotArea>
    <c:legend>
      <c:legendPos val="r"/>
      <c:layout>
        <c:manualLayout>
          <c:xMode val="edge"/>
          <c:yMode val="edge"/>
          <c:x val="0.91836820397450314"/>
          <c:y val="0.43003412969283278"/>
          <c:w val="6.5306122448979598E-2"/>
          <c:h val="0.14675767918088739"/>
        </c:manualLayout>
      </c:layout>
      <c:overlay val="0"/>
      <c:spPr>
        <a:solidFill>
          <a:srgbClr val="FFFFFF"/>
        </a:solidFill>
        <a:ln w="3175">
          <a:solidFill>
            <a:srgbClr val="000000"/>
          </a:solidFill>
          <a:prstDash val="solid"/>
        </a:ln>
      </c:spPr>
      <c:txPr>
        <a:bodyPr/>
        <a:lstStyle/>
        <a:p>
          <a:pPr>
            <a:defRPr sz="6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836826208572031E-2"/>
          <c:y val="8.8737201365187715E-2"/>
          <c:w val="0.76530688507143363"/>
          <c:h val="0.75767918088737196"/>
        </c:manualLayout>
      </c:layout>
      <c:lineChart>
        <c:grouping val="standard"/>
        <c:varyColors val="0"/>
        <c:ser>
          <c:idx val="1"/>
          <c:order val="0"/>
          <c:tx>
            <c:strRef>
              <c:f>Recovery!$B$1</c:f>
              <c:strCache>
                <c:ptCount val="1"/>
                <c:pt idx="0">
                  <c:v>y</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val>
            <c:numRef>
              <c:f>Recovery!$B$2:$B$5</c:f>
              <c:numCache>
                <c:formatCode>General</c:formatCode>
                <c:ptCount val="4"/>
                <c:pt idx="0">
                  <c:v>3.2000000000000001E-2</c:v>
                </c:pt>
                <c:pt idx="1">
                  <c:v>0.40200000000000002</c:v>
                </c:pt>
                <c:pt idx="2">
                  <c:v>0.45200000000000001</c:v>
                </c:pt>
                <c:pt idx="3">
                  <c:v>0.54900000000000004</c:v>
                </c:pt>
              </c:numCache>
            </c:numRef>
          </c:val>
          <c:smooth val="0"/>
          <c:extLst>
            <c:ext xmlns:c16="http://schemas.microsoft.com/office/drawing/2014/chart" uri="{C3380CC4-5D6E-409C-BE32-E72D297353CC}">
              <c16:uniqueId val="{00000000-D334-41F8-B8F2-ED3F2540869B}"/>
            </c:ext>
          </c:extLst>
        </c:ser>
        <c:ser>
          <c:idx val="2"/>
          <c:order val="1"/>
          <c:tx>
            <c:strRef>
              <c:f>Recovery!$C$1</c:f>
              <c:strCache>
                <c:ptCount val="1"/>
                <c:pt idx="0">
                  <c:v>y*</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val>
            <c:numRef>
              <c:f>Recovery!$C$2:$C$5</c:f>
              <c:numCache>
                <c:formatCode>General</c:formatCode>
                <c:ptCount val="4"/>
                <c:pt idx="0">
                  <c:v>3.2000000000000001E-2</c:v>
                </c:pt>
                <c:pt idx="1">
                  <c:v>0.40200000000000002</c:v>
                </c:pt>
                <c:pt idx="2">
                  <c:v>0.45200000000000001</c:v>
                </c:pt>
                <c:pt idx="3">
                  <c:v>0.54899999999999993</c:v>
                </c:pt>
              </c:numCache>
            </c:numRef>
          </c:val>
          <c:smooth val="0"/>
          <c:extLst>
            <c:ext xmlns:c16="http://schemas.microsoft.com/office/drawing/2014/chart" uri="{C3380CC4-5D6E-409C-BE32-E72D297353CC}">
              <c16:uniqueId val="{00000001-D334-41F8-B8F2-ED3F2540869B}"/>
            </c:ext>
          </c:extLst>
        </c:ser>
        <c:dLbls>
          <c:showLegendKey val="0"/>
          <c:showVal val="0"/>
          <c:showCatName val="0"/>
          <c:showSerName val="0"/>
          <c:showPercent val="0"/>
          <c:showBubbleSize val="0"/>
        </c:dLbls>
        <c:marker val="1"/>
        <c:smooth val="0"/>
        <c:axId val="1037223535"/>
        <c:axId val="1"/>
      </c:lineChart>
      <c:catAx>
        <c:axId val="1037223535"/>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037223535"/>
        <c:crosses val="autoZero"/>
        <c:crossBetween val="between"/>
      </c:valAx>
      <c:spPr>
        <a:solidFill>
          <a:srgbClr val="C0C0C0"/>
        </a:solidFill>
        <a:ln w="12700">
          <a:solidFill>
            <a:srgbClr val="808080"/>
          </a:solidFill>
          <a:prstDash val="solid"/>
        </a:ln>
      </c:spPr>
    </c:plotArea>
    <c:legend>
      <c:legendPos val="r"/>
      <c:layout>
        <c:manualLayout>
          <c:xMode val="edge"/>
          <c:yMode val="edge"/>
          <c:x val="0.87959269377042149"/>
          <c:y val="0.39590443686006827"/>
          <c:w val="0.10408163265306125"/>
          <c:h val="0.14675767918088733"/>
        </c:manualLayout>
      </c:layout>
      <c:overlay val="0"/>
      <c:spPr>
        <a:solidFill>
          <a:srgbClr val="FFFFFF"/>
        </a:solidFill>
        <a:ln w="3175">
          <a:solidFill>
            <a:srgbClr val="000000"/>
          </a:solidFill>
          <a:prstDash val="solid"/>
        </a:ln>
      </c:spPr>
      <c:txPr>
        <a:bodyPr/>
        <a:lstStyle/>
        <a:p>
          <a:pPr>
            <a:defRPr sz="6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'Recovery 2'!$B$1</c:f>
              <c:strCache>
                <c:ptCount val="1"/>
                <c:pt idx="0">
                  <c:v>y</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'Recovery 2'!$A$2:$A$17</c:f>
              <c:numCache>
                <c:formatCode>General</c:formatCode>
                <c:ptCount val="16"/>
                <c:pt idx="0">
                  <c:v>0</c:v>
                </c:pt>
                <c:pt idx="1">
                  <c:v>1.7361111111069416E-4</c:v>
                </c:pt>
                <c:pt idx="2">
                  <c:v>3.9351851851809894E-4</c:v>
                </c:pt>
                <c:pt idx="3">
                  <c:v>6.7129629629592014E-4</c:v>
                </c:pt>
                <c:pt idx="4">
                  <c:v>1.0300925925922355E-3</c:v>
                </c:pt>
                <c:pt idx="5">
                  <c:v>1.5046296296292727E-3</c:v>
                </c:pt>
                <c:pt idx="6">
                  <c:v>2.1412037037034093E-3</c:v>
                </c:pt>
                <c:pt idx="7">
                  <c:v>2.9861111111108007E-3</c:v>
                </c:pt>
                <c:pt idx="8">
                  <c:v>4.143518518518241E-3</c:v>
                </c:pt>
                <c:pt idx="9">
                  <c:v>5.7175925925923021E-3</c:v>
                </c:pt>
                <c:pt idx="10">
                  <c:v>7.8587962962959335E-3</c:v>
                </c:pt>
                <c:pt idx="11">
                  <c:v>1.0798611111110801E-2</c:v>
                </c:pt>
                <c:pt idx="12">
                  <c:v>1.4826388888888431E-2</c:v>
                </c:pt>
                <c:pt idx="13">
                  <c:v>2.0370370370370039E-2</c:v>
                </c:pt>
                <c:pt idx="14">
                  <c:v>2.7974537037036784E-2</c:v>
                </c:pt>
                <c:pt idx="15">
                  <c:v>3.8449074074073719E-2</c:v>
                </c:pt>
              </c:numCache>
            </c:numRef>
          </c:xVal>
          <c:yVal>
            <c:numRef>
              <c:f>'Recovery 2'!$B$2:$B$17</c:f>
              <c:numCache>
                <c:formatCode>General</c:formatCode>
                <c:ptCount val="16"/>
                <c:pt idx="0">
                  <c:v>0.27100000000000002</c:v>
                </c:pt>
                <c:pt idx="1">
                  <c:v>0.38300000000000001</c:v>
                </c:pt>
                <c:pt idx="2">
                  <c:v>0.50600000000000001</c:v>
                </c:pt>
                <c:pt idx="3">
                  <c:v>0.59899999999999998</c:v>
                </c:pt>
                <c:pt idx="4">
                  <c:v>0.64300000000000002</c:v>
                </c:pt>
                <c:pt idx="5">
                  <c:v>0.66400000000000003</c:v>
                </c:pt>
                <c:pt idx="6">
                  <c:v>0.67900000000000005</c:v>
                </c:pt>
                <c:pt idx="7">
                  <c:v>0.68700000000000006</c:v>
                </c:pt>
                <c:pt idx="8">
                  <c:v>0.69599999999999995</c:v>
                </c:pt>
                <c:pt idx="9">
                  <c:v>0.7</c:v>
                </c:pt>
                <c:pt idx="10">
                  <c:v>0.70399999999999996</c:v>
                </c:pt>
                <c:pt idx="11">
                  <c:v>0.70699999999999996</c:v>
                </c:pt>
                <c:pt idx="12">
                  <c:v>0.71299999999999997</c:v>
                </c:pt>
                <c:pt idx="13">
                  <c:v>0.71599999999999997</c:v>
                </c:pt>
                <c:pt idx="14">
                  <c:v>0.72099999999999997</c:v>
                </c:pt>
                <c:pt idx="15">
                  <c:v>0.72299999999999998</c:v>
                </c:pt>
              </c:numCache>
            </c:numRef>
          </c:yVal>
          <c:smooth val="1"/>
          <c:extLst>
            <c:ext xmlns:c16="http://schemas.microsoft.com/office/drawing/2014/chart" uri="{C3380CC4-5D6E-409C-BE32-E72D297353CC}">
              <c16:uniqueId val="{00000000-9B0A-46E7-A03E-F48A45E50AA2}"/>
            </c:ext>
          </c:extLst>
        </c:ser>
        <c:ser>
          <c:idx val="1"/>
          <c:order val="1"/>
          <c:tx>
            <c:strRef>
              <c:f>'Recovery 2'!$C$1</c:f>
              <c:strCache>
                <c:ptCount val="1"/>
                <c:pt idx="0">
                  <c:v>y*</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'Recovery 2'!$A$2:$A$17</c:f>
              <c:numCache>
                <c:formatCode>General</c:formatCode>
                <c:ptCount val="16"/>
                <c:pt idx="0">
                  <c:v>0</c:v>
                </c:pt>
                <c:pt idx="1">
                  <c:v>1.7361111111069416E-4</c:v>
                </c:pt>
                <c:pt idx="2">
                  <c:v>3.9351851851809894E-4</c:v>
                </c:pt>
                <c:pt idx="3">
                  <c:v>6.7129629629592014E-4</c:v>
                </c:pt>
                <c:pt idx="4">
                  <c:v>1.0300925925922355E-3</c:v>
                </c:pt>
                <c:pt idx="5">
                  <c:v>1.5046296296292727E-3</c:v>
                </c:pt>
                <c:pt idx="6">
                  <c:v>2.1412037037034093E-3</c:v>
                </c:pt>
                <c:pt idx="7">
                  <c:v>2.9861111111108007E-3</c:v>
                </c:pt>
                <c:pt idx="8">
                  <c:v>4.143518518518241E-3</c:v>
                </c:pt>
                <c:pt idx="9">
                  <c:v>5.7175925925923021E-3</c:v>
                </c:pt>
                <c:pt idx="10">
                  <c:v>7.8587962962959335E-3</c:v>
                </c:pt>
                <c:pt idx="11">
                  <c:v>1.0798611111110801E-2</c:v>
                </c:pt>
                <c:pt idx="12">
                  <c:v>1.4826388888888431E-2</c:v>
                </c:pt>
                <c:pt idx="13">
                  <c:v>2.0370370370370039E-2</c:v>
                </c:pt>
                <c:pt idx="14">
                  <c:v>2.7974537037036784E-2</c:v>
                </c:pt>
                <c:pt idx="15">
                  <c:v>3.8449074074073719E-2</c:v>
                </c:pt>
              </c:numCache>
            </c:numRef>
          </c:xVal>
          <c:yVal>
            <c:numRef>
              <c:f>'Recovery 2'!$C$2:$C$17</c:f>
              <c:numCache>
                <c:formatCode>General</c:formatCode>
                <c:ptCount val="16"/>
                <c:pt idx="0">
                  <c:v>0.53854449414041028</c:v>
                </c:pt>
                <c:pt idx="1">
                  <c:v>0.54262277088602673</c:v>
                </c:pt>
                <c:pt idx="2">
                  <c:v>0.54775134519084645</c:v>
                </c:pt>
                <c:pt idx="3">
                  <c:v>0.55417001632724805</c:v>
                </c:pt>
                <c:pt idx="4">
                  <c:v>0.56236238522447479</c:v>
                </c:pt>
                <c:pt idx="5">
                  <c:v>0.57302691111596005</c:v>
                </c:pt>
                <c:pt idx="6">
                  <c:v>0.58702759212647493</c:v>
                </c:pt>
                <c:pt idx="7">
                  <c:v>0.60506902979236088</c:v>
                </c:pt>
                <c:pt idx="8">
                  <c:v>0.62877907162439328</c:v>
                </c:pt>
                <c:pt idx="9">
                  <c:v>0.65915629746308468</c:v>
                </c:pt>
                <c:pt idx="10">
                  <c:v>0.69700789011196207</c:v>
                </c:pt>
                <c:pt idx="11">
                  <c:v>0.74242649154902551</c:v>
                </c:pt>
                <c:pt idx="12">
                  <c:v>0.79225740141509959</c:v>
                </c:pt>
                <c:pt idx="13">
                  <c:v>0.83717376232934271</c:v>
                </c:pt>
                <c:pt idx="14">
                  <c:v>0.85356974531816832</c:v>
                </c:pt>
                <c:pt idx="15">
                  <c:v>0.78890760151287509</c:v>
                </c:pt>
              </c:numCache>
            </c:numRef>
          </c:yVal>
          <c:smooth val="1"/>
          <c:extLst>
            <c:ext xmlns:c16="http://schemas.microsoft.com/office/drawing/2014/chart" uri="{C3380CC4-5D6E-409C-BE32-E72D297353CC}">
              <c16:uniqueId val="{00000001-9B0A-46E7-A03E-F48A45E50AA2}"/>
            </c:ext>
          </c:extLst>
        </c:ser>
        <c:dLbls>
          <c:showLegendKey val="0"/>
          <c:showVal val="0"/>
          <c:showCatName val="0"/>
          <c:showSerName val="0"/>
          <c:showPercent val="0"/>
          <c:showBubbleSize val="0"/>
        </c:dLbls>
        <c:axId val="1694592943"/>
        <c:axId val="197304671"/>
      </c:scatterChart>
      <c:valAx>
        <c:axId val="1694592943"/>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7304671"/>
        <c:crosses val="autoZero"/>
        <c:crossBetween val="midCat"/>
      </c:valAx>
      <c:valAx>
        <c:axId val="19730467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9459294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9</xdr:col>
      <xdr:colOff>514350</xdr:colOff>
      <xdr:row>14</xdr:row>
      <xdr:rowOff>9525</xdr:rowOff>
    </xdr:from>
    <xdr:to>
      <xdr:col>17</xdr:col>
      <xdr:colOff>209550</xdr:colOff>
      <xdr:row>31</xdr:row>
      <xdr:rowOff>0</xdr:rowOff>
    </xdr:to>
    <xdr:graphicFrame macro="">
      <xdr:nvGraphicFramePr>
        <xdr:cNvPr id="2" name="Chart 1">
          <a:extLst>
            <a:ext uri="{FF2B5EF4-FFF2-40B4-BE49-F238E27FC236}">
              <a16:creationId xmlns:a16="http://schemas.microsoft.com/office/drawing/2014/main" id="{41D783BF-4A57-4C76-88F5-A968BB96B4F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161925</xdr:colOff>
      <xdr:row>9</xdr:row>
      <xdr:rowOff>104775</xdr:rowOff>
    </xdr:from>
    <xdr:to>
      <xdr:col>17</xdr:col>
      <xdr:colOff>561975</xdr:colOff>
      <xdr:row>26</xdr:row>
      <xdr:rowOff>142875</xdr:rowOff>
    </xdr:to>
    <xdr:graphicFrame macro="">
      <xdr:nvGraphicFramePr>
        <xdr:cNvPr id="2178" name="Chart 1">
          <a:extLst>
            <a:ext uri="{FF2B5EF4-FFF2-40B4-BE49-F238E27FC236}">
              <a16:creationId xmlns:a16="http://schemas.microsoft.com/office/drawing/2014/main" id="{531FE84B-AE99-4D05-A34B-D65A0A7930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457200</xdr:colOff>
      <xdr:row>13</xdr:row>
      <xdr:rowOff>142875</xdr:rowOff>
    </xdr:from>
    <xdr:to>
      <xdr:col>16</xdr:col>
      <xdr:colOff>247650</xdr:colOff>
      <xdr:row>31</xdr:row>
      <xdr:rowOff>19050</xdr:rowOff>
    </xdr:to>
    <xdr:graphicFrame macro="">
      <xdr:nvGraphicFramePr>
        <xdr:cNvPr id="1159" name="Chart 6">
          <a:extLst>
            <a:ext uri="{FF2B5EF4-FFF2-40B4-BE49-F238E27FC236}">
              <a16:creationId xmlns:a16="http://schemas.microsoft.com/office/drawing/2014/main" id="{B6ED7AEA-7422-4708-8552-BFAE8F4823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504825</xdr:colOff>
      <xdr:row>8</xdr:row>
      <xdr:rowOff>104775</xdr:rowOff>
    </xdr:from>
    <xdr:to>
      <xdr:col>11</xdr:col>
      <xdr:colOff>295275</xdr:colOff>
      <xdr:row>25</xdr:row>
      <xdr:rowOff>142875</xdr:rowOff>
    </xdr:to>
    <xdr:graphicFrame macro="">
      <xdr:nvGraphicFramePr>
        <xdr:cNvPr id="5250" name="Chart 1">
          <a:extLst>
            <a:ext uri="{FF2B5EF4-FFF2-40B4-BE49-F238E27FC236}">
              <a16:creationId xmlns:a16="http://schemas.microsoft.com/office/drawing/2014/main" id="{2624633E-DB89-4D64-BFEC-68155AC003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11</xdr:col>
      <xdr:colOff>47625</xdr:colOff>
      <xdr:row>14</xdr:row>
      <xdr:rowOff>9525</xdr:rowOff>
    </xdr:from>
    <xdr:to>
      <xdr:col>18</xdr:col>
      <xdr:colOff>352425</xdr:colOff>
      <xdr:row>31</xdr:row>
      <xdr:rowOff>0</xdr:rowOff>
    </xdr:to>
    <xdr:graphicFrame macro="">
      <xdr:nvGraphicFramePr>
        <xdr:cNvPr id="2" name="Chart 1">
          <a:extLst>
            <a:ext uri="{FF2B5EF4-FFF2-40B4-BE49-F238E27FC236}">
              <a16:creationId xmlns:a16="http://schemas.microsoft.com/office/drawing/2014/main" id="{F7C6C8ED-117D-4E62-837B-A0DFF2E3F7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Q134"/>
  <sheetViews>
    <sheetView tabSelected="1" workbookViewId="0">
      <selection activeCell="I3" sqref="I3"/>
    </sheetView>
  </sheetViews>
  <sheetFormatPr defaultRowHeight="12.75" x14ac:dyDescent="0.2"/>
  <cols>
    <col min="1" max="2" width="9.140625" style="2"/>
    <col min="4" max="4" width="10.5703125" style="4" bestFit="1" customWidth="1"/>
    <col min="5" max="5" width="11.5703125" style="4" customWidth="1"/>
    <col min="7" max="7" width="14.7109375" customWidth="1"/>
    <col min="8" max="8" width="11" bestFit="1" customWidth="1"/>
  </cols>
  <sheetData>
    <row r="1" spans="1:17" x14ac:dyDescent="0.2">
      <c r="A1" s="2" t="s">
        <v>7</v>
      </c>
      <c r="B1" s="2" t="s">
        <v>8</v>
      </c>
      <c r="C1" t="s">
        <v>9</v>
      </c>
      <c r="D1" s="4" t="s">
        <v>41</v>
      </c>
      <c r="E1" s="4" t="s">
        <v>42</v>
      </c>
      <c r="G1" t="s">
        <v>0</v>
      </c>
      <c r="H1" t="s">
        <v>13</v>
      </c>
      <c r="I1" t="s">
        <v>12</v>
      </c>
      <c r="J1" t="s">
        <v>49</v>
      </c>
      <c r="K1" t="s">
        <v>26</v>
      </c>
    </row>
    <row r="2" spans="1:17" x14ac:dyDescent="0.2">
      <c r="A2">
        <v>0</v>
      </c>
      <c r="B2">
        <v>0</v>
      </c>
      <c r="C2">
        <f t="shared" ref="C2:C10" si="0">$H$2*(1-EXP((-$H$3*A2)/$H$2))</f>
        <v>0</v>
      </c>
      <c r="D2" s="4">
        <f t="shared" ref="D2:D10" si="1">(B2-C2)*(B2-C2)</f>
        <v>0</v>
      </c>
      <c r="E2" s="4">
        <f t="shared" ref="E2:E10" si="2">(B2-$G$6)*(B2-$G$6)</f>
        <v>41.30847136111111</v>
      </c>
      <c r="F2" t="s">
        <v>4</v>
      </c>
      <c r="G2" t="s">
        <v>1</v>
      </c>
      <c r="H2">
        <v>18.473221346347113</v>
      </c>
      <c r="I2">
        <v>0.14243710064322807</v>
      </c>
      <c r="J2">
        <f>1.96/SQRT(I2)</f>
        <v>5.1933131277989188</v>
      </c>
    </row>
    <row r="3" spans="1:17" x14ac:dyDescent="0.2">
      <c r="A3">
        <v>2.9</v>
      </c>
      <c r="B3">
        <v>1.8356999999999999</v>
      </c>
      <c r="C3">
        <f t="shared" si="0"/>
        <v>1.7263341468745401</v>
      </c>
      <c r="D3" s="4">
        <f t="shared" si="1"/>
        <v>1.1960889829859638E-2</v>
      </c>
      <c r="E3" s="4">
        <f t="shared" si="2"/>
        <v>21.081566151111108</v>
      </c>
      <c r="F3" t="s">
        <v>5</v>
      </c>
      <c r="G3" t="s">
        <v>2</v>
      </c>
      <c r="H3" s="3">
        <v>0.6249668283401133</v>
      </c>
      <c r="I3">
        <v>4.0232200469871504E-3</v>
      </c>
      <c r="J3">
        <f>1.96/SQRT(1/I3)</f>
        <v>0.12432056198596367</v>
      </c>
    </row>
    <row r="4" spans="1:17" x14ac:dyDescent="0.2">
      <c r="A4">
        <v>4.4000000000000004</v>
      </c>
      <c r="B4">
        <v>2.4815999999999998</v>
      </c>
      <c r="C4">
        <f t="shared" si="0"/>
        <v>2.5549759447888807</v>
      </c>
      <c r="D4" s="4">
        <f t="shared" si="1"/>
        <v>5.3840292736608945E-3</v>
      </c>
      <c r="E4" s="4">
        <f t="shared" si="2"/>
        <v>15.567496321111111</v>
      </c>
    </row>
    <row r="5" spans="1:17" x14ac:dyDescent="0.2">
      <c r="A5">
        <v>6.6</v>
      </c>
      <c r="B5">
        <v>3.6894</v>
      </c>
      <c r="C5">
        <f t="shared" si="0"/>
        <v>3.6967248040922636</v>
      </c>
      <c r="D5" s="4">
        <f t="shared" si="1"/>
        <v>5.3652754990040823E-5</v>
      </c>
      <c r="E5" s="4">
        <f t="shared" si="2"/>
        <v>7.4953663211111099</v>
      </c>
      <c r="F5" t="s">
        <v>37</v>
      </c>
      <c r="H5">
        <f>H2/H3</f>
        <v>29.558722973203626</v>
      </c>
      <c r="I5">
        <v>239</v>
      </c>
      <c r="L5" s="6" t="s">
        <v>57</v>
      </c>
      <c r="M5" s="6"/>
      <c r="N5" s="6" t="s">
        <v>58</v>
      </c>
      <c r="O5" s="6"/>
      <c r="P5" s="7" t="s">
        <v>59</v>
      </c>
      <c r="Q5" s="7"/>
    </row>
    <row r="6" spans="1:17" x14ac:dyDescent="0.2">
      <c r="A6">
        <v>9.9</v>
      </c>
      <c r="B6">
        <v>5.2470000000000008</v>
      </c>
      <c r="C6">
        <f t="shared" si="0"/>
        <v>5.2576513964533271</v>
      </c>
      <c r="D6" s="4">
        <f t="shared" si="1"/>
        <v>1.1345224640593328E-4</v>
      </c>
      <c r="E6" s="4">
        <f t="shared" si="2"/>
        <v>1.3927933611111087</v>
      </c>
      <c r="F6" t="s">
        <v>39</v>
      </c>
      <c r="G6" s="2">
        <f>AVERAGE(B2:B49)</f>
        <v>6.4271666666666665</v>
      </c>
      <c r="L6" s="6" t="s">
        <v>60</v>
      </c>
      <c r="M6" s="6" t="s">
        <v>61</v>
      </c>
      <c r="N6" s="6" t="s">
        <v>62</v>
      </c>
      <c r="O6" s="6" t="s">
        <v>61</v>
      </c>
      <c r="P6" s="7" t="s">
        <v>62</v>
      </c>
      <c r="Q6" s="7" t="s">
        <v>61</v>
      </c>
    </row>
    <row r="7" spans="1:17" x14ac:dyDescent="0.2">
      <c r="A7">
        <v>14.8</v>
      </c>
      <c r="B7">
        <v>7.2519999999999998</v>
      </c>
      <c r="C7">
        <f t="shared" si="0"/>
        <v>7.2764667523092843</v>
      </c>
      <c r="D7" s="4">
        <f t="shared" si="1"/>
        <v>5.9862196856387952E-4</v>
      </c>
      <c r="E7" s="4">
        <f t="shared" si="2"/>
        <v>0.68035002777777775</v>
      </c>
      <c r="F7" t="s">
        <v>43</v>
      </c>
      <c r="G7" s="4">
        <f>SUM(D2:D500)</f>
        <v>1.9905484702827346E-2</v>
      </c>
      <c r="L7">
        <v>119.23337312511875</v>
      </c>
      <c r="M7">
        <v>28.702020704549032</v>
      </c>
      <c r="N7" s="3">
        <v>0.13161171648513978</v>
      </c>
      <c r="O7">
        <v>1.4236987125900179E-2</v>
      </c>
      <c r="P7">
        <f>L7/N7</f>
        <v>905.94801366777506</v>
      </c>
      <c r="Q7">
        <f>M15</f>
        <v>239.08863433696126</v>
      </c>
    </row>
    <row r="8" spans="1:17" x14ac:dyDescent="0.2">
      <c r="A8">
        <v>22.2</v>
      </c>
      <c r="B8">
        <v>9.7679999999999989</v>
      </c>
      <c r="C8">
        <f t="shared" si="0"/>
        <v>9.7562238261444509</v>
      </c>
      <c r="D8" s="4">
        <f t="shared" si="1"/>
        <v>1.3867827067609147E-4</v>
      </c>
      <c r="E8" s="4">
        <f t="shared" si="2"/>
        <v>11.161167361111104</v>
      </c>
      <c r="F8" t="s">
        <v>40</v>
      </c>
      <c r="G8" s="2">
        <f>SUM(E2:E500)</f>
        <v>210.17283279999998</v>
      </c>
    </row>
    <row r="9" spans="1:17" x14ac:dyDescent="0.2">
      <c r="A9">
        <v>33.299999999999997</v>
      </c>
      <c r="B9">
        <v>12.520799999999999</v>
      </c>
      <c r="C9">
        <f t="shared" si="0"/>
        <v>12.485258918297703</v>
      </c>
      <c r="D9" s="4">
        <f t="shared" si="1"/>
        <v>1.2631684885693328E-3</v>
      </c>
      <c r="E9" s="4">
        <f t="shared" si="2"/>
        <v>37.132367201111109</v>
      </c>
      <c r="F9" t="s">
        <v>47</v>
      </c>
      <c r="G9" s="5">
        <f>COUNT(E2:E500)-2-1</f>
        <v>6</v>
      </c>
    </row>
    <row r="10" spans="1:17" x14ac:dyDescent="0.2">
      <c r="A10">
        <v>50</v>
      </c>
      <c r="B10">
        <v>15.049999999999999</v>
      </c>
      <c r="C10">
        <f t="shared" si="0"/>
        <v>15.069824022550973</v>
      </c>
      <c r="D10" s="4">
        <f t="shared" si="1"/>
        <v>3.929918701015361E-4</v>
      </c>
      <c r="E10" s="4">
        <f t="shared" si="2"/>
        <v>74.353254694444431</v>
      </c>
      <c r="F10" t="s">
        <v>48</v>
      </c>
      <c r="G10">
        <f>G7/G9</f>
        <v>3.3175807838045578E-3</v>
      </c>
      <c r="L10" t="s">
        <v>63</v>
      </c>
    </row>
    <row r="11" spans="1:17" x14ac:dyDescent="0.2">
      <c r="A11"/>
      <c r="B11"/>
      <c r="F11" t="s">
        <v>12</v>
      </c>
      <c r="G11">
        <f>SQRT(G10)</f>
        <v>5.7598444282849846E-2</v>
      </c>
      <c r="L11" t="s">
        <v>64</v>
      </c>
      <c r="M11">
        <f>1/N7</f>
        <v>7.5981077270799791</v>
      </c>
    </row>
    <row r="12" spans="1:17" x14ac:dyDescent="0.2">
      <c r="A12"/>
      <c r="B12"/>
      <c r="L12" t="s">
        <v>65</v>
      </c>
      <c r="M12">
        <f>(-L7/(N7*N7))</f>
        <v>-6883.4906029818794</v>
      </c>
    </row>
    <row r="13" spans="1:17" x14ac:dyDescent="0.2">
      <c r="A13"/>
      <c r="B13"/>
    </row>
    <row r="14" spans="1:17" x14ac:dyDescent="0.2">
      <c r="A14"/>
      <c r="B14"/>
      <c r="F14" t="s">
        <v>44</v>
      </c>
      <c r="G14">
        <f>1-(G7/G8)</f>
        <v>0.99990528992525984</v>
      </c>
      <c r="L14" t="s">
        <v>66</v>
      </c>
      <c r="M14">
        <f>((M7*M7)*(M11*M11))+((O7*O7)*(M12*M12))</f>
        <v>57163.375069113179</v>
      </c>
    </row>
    <row r="15" spans="1:17" x14ac:dyDescent="0.2">
      <c r="A15"/>
      <c r="B15"/>
      <c r="F15" t="s">
        <v>45</v>
      </c>
      <c r="G15">
        <f>SQRT(G14)</f>
        <v>0.99995264384132709</v>
      </c>
      <c r="L15" t="s">
        <v>50</v>
      </c>
      <c r="M15">
        <f>SQRT(M14)</f>
        <v>239.08863433696126</v>
      </c>
    </row>
    <row r="16" spans="1:17" x14ac:dyDescent="0.2">
      <c r="A16"/>
      <c r="B16"/>
    </row>
    <row r="17" spans="1:2" x14ac:dyDescent="0.2">
      <c r="A17"/>
      <c r="B17"/>
    </row>
    <row r="18" spans="1:2" x14ac:dyDescent="0.2">
      <c r="A18"/>
      <c r="B18"/>
    </row>
    <row r="19" spans="1:2" x14ac:dyDescent="0.2">
      <c r="A19"/>
      <c r="B19"/>
    </row>
    <row r="20" spans="1:2" x14ac:dyDescent="0.2">
      <c r="A20"/>
      <c r="B20"/>
    </row>
    <row r="21" spans="1:2" x14ac:dyDescent="0.2">
      <c r="A21"/>
      <c r="B21"/>
    </row>
    <row r="22" spans="1:2" x14ac:dyDescent="0.2">
      <c r="A22"/>
      <c r="B22"/>
    </row>
    <row r="23" spans="1:2" x14ac:dyDescent="0.2">
      <c r="A23"/>
      <c r="B23"/>
    </row>
    <row r="24" spans="1:2" x14ac:dyDescent="0.2">
      <c r="A24"/>
      <c r="B24"/>
    </row>
    <row r="25" spans="1:2" x14ac:dyDescent="0.2">
      <c r="A25"/>
      <c r="B25"/>
    </row>
    <row r="26" spans="1:2" x14ac:dyDescent="0.2">
      <c r="A26"/>
      <c r="B26"/>
    </row>
    <row r="27" spans="1:2" x14ac:dyDescent="0.2">
      <c r="A27"/>
      <c r="B27"/>
    </row>
    <row r="28" spans="1:2" x14ac:dyDescent="0.2">
      <c r="A28"/>
      <c r="B28"/>
    </row>
    <row r="29" spans="1:2" x14ac:dyDescent="0.2">
      <c r="A29"/>
      <c r="B29"/>
    </row>
    <row r="30" spans="1:2" x14ac:dyDescent="0.2">
      <c r="A30"/>
      <c r="B30"/>
    </row>
    <row r="31" spans="1:2" x14ac:dyDescent="0.2">
      <c r="A31"/>
      <c r="B31"/>
    </row>
    <row r="32" spans="1:2" x14ac:dyDescent="0.2">
      <c r="A32"/>
      <c r="B32"/>
    </row>
    <row r="33" spans="1:2" x14ac:dyDescent="0.2">
      <c r="A33"/>
      <c r="B33"/>
    </row>
    <row r="34" spans="1:2" x14ac:dyDescent="0.2">
      <c r="A34"/>
      <c r="B34"/>
    </row>
    <row r="35" spans="1:2" x14ac:dyDescent="0.2">
      <c r="A35"/>
      <c r="B35"/>
    </row>
    <row r="36" spans="1:2" x14ac:dyDescent="0.2">
      <c r="A36"/>
      <c r="B36"/>
    </row>
    <row r="37" spans="1:2" x14ac:dyDescent="0.2">
      <c r="A37"/>
      <c r="B37"/>
    </row>
    <row r="38" spans="1:2" x14ac:dyDescent="0.2">
      <c r="A38"/>
      <c r="B38"/>
    </row>
    <row r="39" spans="1:2" x14ac:dyDescent="0.2">
      <c r="A39"/>
      <c r="B39"/>
    </row>
    <row r="40" spans="1:2" x14ac:dyDescent="0.2">
      <c r="A40"/>
      <c r="B40"/>
    </row>
    <row r="41" spans="1:2" x14ac:dyDescent="0.2">
      <c r="A41"/>
      <c r="B41"/>
    </row>
    <row r="42" spans="1:2" x14ac:dyDescent="0.2">
      <c r="A42"/>
      <c r="B42"/>
    </row>
    <row r="43" spans="1:2" x14ac:dyDescent="0.2">
      <c r="A43"/>
      <c r="B43"/>
    </row>
    <row r="44" spans="1:2" x14ac:dyDescent="0.2">
      <c r="A44"/>
      <c r="B44"/>
    </row>
    <row r="45" spans="1:2" x14ac:dyDescent="0.2">
      <c r="A45"/>
      <c r="B45"/>
    </row>
    <row r="46" spans="1:2" x14ac:dyDescent="0.2">
      <c r="A46"/>
      <c r="B46"/>
    </row>
    <row r="47" spans="1:2" x14ac:dyDescent="0.2">
      <c r="A47"/>
      <c r="B47"/>
    </row>
    <row r="48" spans="1:2" x14ac:dyDescent="0.2">
      <c r="A48"/>
      <c r="B48"/>
    </row>
    <row r="49" spans="1:2" x14ac:dyDescent="0.2">
      <c r="A49"/>
      <c r="B49"/>
    </row>
    <row r="50" spans="1:2" x14ac:dyDescent="0.2">
      <c r="A50"/>
      <c r="B50"/>
    </row>
    <row r="51" spans="1:2" x14ac:dyDescent="0.2">
      <c r="A51"/>
      <c r="B51"/>
    </row>
    <row r="52" spans="1:2" x14ac:dyDescent="0.2">
      <c r="A52"/>
      <c r="B52"/>
    </row>
    <row r="53" spans="1:2" x14ac:dyDescent="0.2">
      <c r="A53"/>
      <c r="B53"/>
    </row>
    <row r="54" spans="1:2" x14ac:dyDescent="0.2">
      <c r="A54"/>
      <c r="B54"/>
    </row>
    <row r="55" spans="1:2" x14ac:dyDescent="0.2">
      <c r="A55"/>
      <c r="B55"/>
    </row>
    <row r="56" spans="1:2" x14ac:dyDescent="0.2">
      <c r="A56"/>
      <c r="B56"/>
    </row>
    <row r="57" spans="1:2" x14ac:dyDescent="0.2">
      <c r="A57"/>
      <c r="B57"/>
    </row>
    <row r="58" spans="1:2" x14ac:dyDescent="0.2">
      <c r="A58"/>
      <c r="B58"/>
    </row>
    <row r="59" spans="1:2" x14ac:dyDescent="0.2">
      <c r="A59"/>
      <c r="B59"/>
    </row>
    <row r="60" spans="1:2" x14ac:dyDescent="0.2">
      <c r="A60"/>
      <c r="B60"/>
    </row>
    <row r="61" spans="1:2" x14ac:dyDescent="0.2">
      <c r="A61"/>
      <c r="B61"/>
    </row>
    <row r="62" spans="1:2" x14ac:dyDescent="0.2">
      <c r="A62"/>
      <c r="B62"/>
    </row>
    <row r="63" spans="1:2" x14ac:dyDescent="0.2">
      <c r="A63"/>
      <c r="B63"/>
    </row>
    <row r="64" spans="1:2" x14ac:dyDescent="0.2">
      <c r="A64"/>
      <c r="B64"/>
    </row>
    <row r="65" spans="1:2" x14ac:dyDescent="0.2">
      <c r="A65"/>
      <c r="B65"/>
    </row>
    <row r="66" spans="1:2" x14ac:dyDescent="0.2">
      <c r="A66"/>
      <c r="B66"/>
    </row>
    <row r="67" spans="1:2" x14ac:dyDescent="0.2">
      <c r="A67"/>
      <c r="B67"/>
    </row>
    <row r="68" spans="1:2" x14ac:dyDescent="0.2">
      <c r="A68"/>
      <c r="B68"/>
    </row>
    <row r="69" spans="1:2" x14ac:dyDescent="0.2">
      <c r="A69"/>
      <c r="B69"/>
    </row>
    <row r="70" spans="1:2" x14ac:dyDescent="0.2">
      <c r="A70"/>
      <c r="B70"/>
    </row>
    <row r="71" spans="1:2" x14ac:dyDescent="0.2">
      <c r="A71"/>
      <c r="B71"/>
    </row>
    <row r="72" spans="1:2" x14ac:dyDescent="0.2">
      <c r="A72"/>
      <c r="B72"/>
    </row>
    <row r="73" spans="1:2" x14ac:dyDescent="0.2">
      <c r="A73"/>
      <c r="B73"/>
    </row>
    <row r="74" spans="1:2" x14ac:dyDescent="0.2">
      <c r="A74"/>
      <c r="B74"/>
    </row>
    <row r="75" spans="1:2" x14ac:dyDescent="0.2">
      <c r="A75"/>
      <c r="B75"/>
    </row>
    <row r="76" spans="1:2" x14ac:dyDescent="0.2">
      <c r="A76"/>
      <c r="B76"/>
    </row>
    <row r="77" spans="1:2" x14ac:dyDescent="0.2">
      <c r="A77"/>
      <c r="B77"/>
    </row>
    <row r="78" spans="1:2" x14ac:dyDescent="0.2">
      <c r="A78"/>
      <c r="B78"/>
    </row>
    <row r="79" spans="1:2" x14ac:dyDescent="0.2">
      <c r="A79"/>
      <c r="B79"/>
    </row>
    <row r="80" spans="1:2" x14ac:dyDescent="0.2">
      <c r="A80"/>
      <c r="B80"/>
    </row>
    <row r="81" spans="1:2" x14ac:dyDescent="0.2">
      <c r="A81"/>
      <c r="B81"/>
    </row>
    <row r="82" spans="1:2" x14ac:dyDescent="0.2">
      <c r="A82"/>
      <c r="B82"/>
    </row>
    <row r="83" spans="1:2" x14ac:dyDescent="0.2">
      <c r="A83"/>
      <c r="B83"/>
    </row>
    <row r="84" spans="1:2" x14ac:dyDescent="0.2">
      <c r="A84"/>
      <c r="B84"/>
    </row>
    <row r="85" spans="1:2" x14ac:dyDescent="0.2">
      <c r="A85"/>
      <c r="B85"/>
    </row>
    <row r="86" spans="1:2" x14ac:dyDescent="0.2">
      <c r="A86"/>
      <c r="B86"/>
    </row>
    <row r="87" spans="1:2" x14ac:dyDescent="0.2">
      <c r="A87"/>
      <c r="B87"/>
    </row>
    <row r="88" spans="1:2" x14ac:dyDescent="0.2">
      <c r="A88"/>
      <c r="B88"/>
    </row>
    <row r="89" spans="1:2" x14ac:dyDescent="0.2">
      <c r="A89"/>
      <c r="B89"/>
    </row>
    <row r="90" spans="1:2" x14ac:dyDescent="0.2">
      <c r="A90"/>
      <c r="B90"/>
    </row>
    <row r="91" spans="1:2" x14ac:dyDescent="0.2">
      <c r="A91"/>
      <c r="B91"/>
    </row>
    <row r="92" spans="1:2" x14ac:dyDescent="0.2">
      <c r="A92"/>
      <c r="B92"/>
    </row>
    <row r="93" spans="1:2" x14ac:dyDescent="0.2">
      <c r="A93"/>
      <c r="B93"/>
    </row>
    <row r="94" spans="1:2" x14ac:dyDescent="0.2">
      <c r="A94"/>
      <c r="B94"/>
    </row>
    <row r="95" spans="1:2" x14ac:dyDescent="0.2">
      <c r="A95"/>
      <c r="B95"/>
    </row>
    <row r="96" spans="1:2" x14ac:dyDescent="0.2">
      <c r="A96"/>
      <c r="B96"/>
    </row>
    <row r="97" spans="1:2" x14ac:dyDescent="0.2">
      <c r="A97"/>
      <c r="B97"/>
    </row>
    <row r="98" spans="1:2" x14ac:dyDescent="0.2">
      <c r="A98"/>
      <c r="B98"/>
    </row>
    <row r="99" spans="1:2" x14ac:dyDescent="0.2">
      <c r="A99"/>
      <c r="B99"/>
    </row>
    <row r="100" spans="1:2" x14ac:dyDescent="0.2">
      <c r="A100"/>
      <c r="B100"/>
    </row>
    <row r="101" spans="1:2" x14ac:dyDescent="0.2">
      <c r="A101"/>
      <c r="B101"/>
    </row>
    <row r="102" spans="1:2" x14ac:dyDescent="0.2">
      <c r="A102"/>
      <c r="B102"/>
    </row>
    <row r="103" spans="1:2" x14ac:dyDescent="0.2">
      <c r="A103"/>
      <c r="B103"/>
    </row>
    <row r="104" spans="1:2" x14ac:dyDescent="0.2">
      <c r="A104"/>
      <c r="B104"/>
    </row>
    <row r="105" spans="1:2" x14ac:dyDescent="0.2">
      <c r="A105"/>
      <c r="B105"/>
    </row>
    <row r="106" spans="1:2" x14ac:dyDescent="0.2">
      <c r="A106"/>
      <c r="B106"/>
    </row>
    <row r="107" spans="1:2" x14ac:dyDescent="0.2">
      <c r="A107"/>
      <c r="B107"/>
    </row>
    <row r="108" spans="1:2" x14ac:dyDescent="0.2">
      <c r="A108"/>
      <c r="B108"/>
    </row>
    <row r="109" spans="1:2" x14ac:dyDescent="0.2">
      <c r="A109"/>
      <c r="B109"/>
    </row>
    <row r="110" spans="1:2" x14ac:dyDescent="0.2">
      <c r="A110"/>
      <c r="B110"/>
    </row>
    <row r="111" spans="1:2" x14ac:dyDescent="0.2">
      <c r="A111"/>
      <c r="B111"/>
    </row>
    <row r="112" spans="1:2" x14ac:dyDescent="0.2">
      <c r="A112"/>
      <c r="B112"/>
    </row>
    <row r="113" spans="1:2" x14ac:dyDescent="0.2">
      <c r="A113"/>
      <c r="B113"/>
    </row>
    <row r="114" spans="1:2" x14ac:dyDescent="0.2">
      <c r="A114"/>
      <c r="B114"/>
    </row>
    <row r="115" spans="1:2" x14ac:dyDescent="0.2">
      <c r="A115"/>
      <c r="B115"/>
    </row>
    <row r="116" spans="1:2" x14ac:dyDescent="0.2">
      <c r="A116"/>
      <c r="B116"/>
    </row>
    <row r="117" spans="1:2" x14ac:dyDescent="0.2">
      <c r="A117"/>
      <c r="B117"/>
    </row>
    <row r="118" spans="1:2" x14ac:dyDescent="0.2">
      <c r="A118"/>
      <c r="B118"/>
    </row>
    <row r="119" spans="1:2" x14ac:dyDescent="0.2">
      <c r="A119"/>
      <c r="B119"/>
    </row>
    <row r="120" spans="1:2" x14ac:dyDescent="0.2">
      <c r="A120"/>
      <c r="B120"/>
    </row>
    <row r="121" spans="1:2" x14ac:dyDescent="0.2">
      <c r="A121"/>
      <c r="B121"/>
    </row>
    <row r="122" spans="1:2" x14ac:dyDescent="0.2">
      <c r="A122"/>
      <c r="B122"/>
    </row>
    <row r="123" spans="1:2" x14ac:dyDescent="0.2">
      <c r="A123"/>
      <c r="B123"/>
    </row>
    <row r="124" spans="1:2" x14ac:dyDescent="0.2">
      <c r="A124"/>
      <c r="B124"/>
    </row>
    <row r="125" spans="1:2" x14ac:dyDescent="0.2">
      <c r="A125"/>
      <c r="B125"/>
    </row>
    <row r="126" spans="1:2" x14ac:dyDescent="0.2">
      <c r="A126"/>
      <c r="B126"/>
    </row>
    <row r="127" spans="1:2" x14ac:dyDescent="0.2">
      <c r="A127"/>
      <c r="B127"/>
    </row>
    <row r="128" spans="1:2" x14ac:dyDescent="0.2">
      <c r="A128"/>
      <c r="B128"/>
    </row>
    <row r="129" spans="1:2" x14ac:dyDescent="0.2">
      <c r="A129"/>
      <c r="B129"/>
    </row>
    <row r="130" spans="1:2" x14ac:dyDescent="0.2">
      <c r="A130"/>
      <c r="B130"/>
    </row>
    <row r="131" spans="1:2" x14ac:dyDescent="0.2">
      <c r="A131"/>
      <c r="B131"/>
    </row>
    <row r="132" spans="1:2" x14ac:dyDescent="0.2">
      <c r="A132"/>
      <c r="B132"/>
    </row>
    <row r="133" spans="1:2" x14ac:dyDescent="0.2">
      <c r="A133"/>
      <c r="B133"/>
    </row>
    <row r="134" spans="1:2" x14ac:dyDescent="0.2">
      <c r="A134"/>
      <c r="B134"/>
    </row>
  </sheetData>
  <phoneticPr fontId="1" type="noConversion"/>
  <pageMargins left="0.75" right="0.75" top="1" bottom="1" header="0.5" footer="0.5"/>
  <pageSetup paperSize="9" orientation="portrait"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5"/>
  <sheetViews>
    <sheetView workbookViewId="0">
      <selection activeCell="A21" sqref="A21"/>
    </sheetView>
  </sheetViews>
  <sheetFormatPr defaultRowHeight="12.75" x14ac:dyDescent="0.2"/>
  <cols>
    <col min="4" max="5" width="10.85546875" customWidth="1"/>
    <col min="7" max="7" width="12.42578125" customWidth="1"/>
  </cols>
  <sheetData>
    <row r="1" spans="1:11" x14ac:dyDescent="0.2">
      <c r="A1" t="s">
        <v>7</v>
      </c>
      <c r="B1" t="s">
        <v>8</v>
      </c>
      <c r="C1" t="s">
        <v>9</v>
      </c>
      <c r="D1" s="4" t="s">
        <v>41</v>
      </c>
      <c r="E1" s="4" t="s">
        <v>42</v>
      </c>
      <c r="G1" t="s">
        <v>0</v>
      </c>
      <c r="H1" t="s">
        <v>13</v>
      </c>
      <c r="I1" t="s">
        <v>12</v>
      </c>
      <c r="K1" t="s">
        <v>10</v>
      </c>
    </row>
    <row r="2" spans="1:11" x14ac:dyDescent="0.2">
      <c r="A2">
        <v>0</v>
      </c>
      <c r="B2">
        <v>0</v>
      </c>
      <c r="C2">
        <f t="shared" ref="C2:C8" si="0">$H$2*(1-EXP((-$H$3*A2)/$H$2))*(EXP((-$H$4*A2)/$H$2))</f>
        <v>0</v>
      </c>
      <c r="D2" s="4">
        <f>(B2-C2)*(B2-C2)</f>
        <v>0</v>
      </c>
      <c r="E2" s="4">
        <f t="shared" ref="E2:E8" si="1">(B2-$G$5)*(B2-$G$5)</f>
        <v>0</v>
      </c>
      <c r="F2" t="s">
        <v>11</v>
      </c>
      <c r="G2" t="s">
        <v>1</v>
      </c>
      <c r="H2">
        <v>3.5976177886979328E+17</v>
      </c>
      <c r="I2">
        <v>4483.3074454871085</v>
      </c>
    </row>
    <row r="3" spans="1:11" x14ac:dyDescent="0.2">
      <c r="A3">
        <v>18</v>
      </c>
      <c r="B3">
        <v>4.0995990000000004</v>
      </c>
      <c r="C3">
        <f t="shared" si="0"/>
        <v>0</v>
      </c>
      <c r="D3" s="4">
        <f t="shared" ref="D3:D8" si="2">(B3-C3)*(B3-C3)</f>
        <v>16.806711960801003</v>
      </c>
      <c r="E3" s="4">
        <f t="shared" si="1"/>
        <v>16.806711960801003</v>
      </c>
      <c r="F3" t="s">
        <v>5</v>
      </c>
      <c r="G3" t="s">
        <v>2</v>
      </c>
      <c r="H3">
        <v>0.13547213497884544</v>
      </c>
      <c r="I3">
        <v>1.0727754032824612</v>
      </c>
    </row>
    <row r="4" spans="1:11" x14ac:dyDescent="0.2">
      <c r="A4">
        <v>67</v>
      </c>
      <c r="B4">
        <v>15.212953000000002</v>
      </c>
      <c r="C4">
        <f t="shared" si="0"/>
        <v>0</v>
      </c>
      <c r="D4" s="4">
        <f t="shared" si="2"/>
        <v>231.43393898020906</v>
      </c>
      <c r="E4" s="4">
        <f t="shared" si="1"/>
        <v>231.43393898020906</v>
      </c>
      <c r="F4" t="s">
        <v>6</v>
      </c>
      <c r="G4" t="s">
        <v>3</v>
      </c>
      <c r="H4">
        <v>1070767425426518.1</v>
      </c>
      <c r="I4">
        <v>27.608280777544714</v>
      </c>
      <c r="J4">
        <v>0.19506827414494993</v>
      </c>
    </row>
    <row r="5" spans="1:11" x14ac:dyDescent="0.2">
      <c r="A5">
        <v>91</v>
      </c>
      <c r="B5">
        <v>15.0214155</v>
      </c>
      <c r="C5">
        <f t="shared" si="0"/>
        <v>0</v>
      </c>
      <c r="D5" s="4">
        <f t="shared" si="2"/>
        <v>225.64292362364026</v>
      </c>
      <c r="E5" s="4">
        <f t="shared" si="1"/>
        <v>225.64292362364026</v>
      </c>
      <c r="F5" t="s">
        <v>4</v>
      </c>
      <c r="H5">
        <f>H2*(H3/(H3+H4))*(H4/(H3+H4))^(H4/H3)</f>
        <v>18.926450467499357</v>
      </c>
      <c r="J5">
        <v>-4119906909.6015</v>
      </c>
    </row>
    <row r="6" spans="1:11" x14ac:dyDescent="0.2">
      <c r="A6">
        <v>148</v>
      </c>
      <c r="B6">
        <v>24.378892999999998</v>
      </c>
      <c r="C6">
        <f t="shared" si="0"/>
        <v>25.711080297958976</v>
      </c>
      <c r="D6" s="4">
        <f t="shared" si="2"/>
        <v>1.7747229968432421</v>
      </c>
      <c r="E6" s="4">
        <f t="shared" si="1"/>
        <v>594.33042390544892</v>
      </c>
      <c r="F6" t="s">
        <v>37</v>
      </c>
      <c r="H6">
        <f>H5/H3</f>
        <v>139.70733147783346</v>
      </c>
      <c r="I6">
        <f>G24</f>
        <v>33112.432019187727</v>
      </c>
      <c r="J6">
        <v>33.904052708178966</v>
      </c>
    </row>
    <row r="7" spans="1:11" x14ac:dyDescent="0.2">
      <c r="A7">
        <v>256</v>
      </c>
      <c r="B7">
        <v>26.923904</v>
      </c>
      <c r="C7">
        <f t="shared" si="0"/>
        <v>18.643155928877338</v>
      </c>
      <c r="D7" s="4">
        <f t="shared" si="2"/>
        <v>68.570788617401689</v>
      </c>
      <c r="E7" s="4">
        <f t="shared" si="1"/>
        <v>724.89660660121604</v>
      </c>
      <c r="J7">
        <v>173.80608331514631</v>
      </c>
    </row>
    <row r="8" spans="1:11" x14ac:dyDescent="0.2">
      <c r="A8">
        <v>381</v>
      </c>
      <c r="B8">
        <v>27.863482499999996</v>
      </c>
      <c r="C8">
        <f t="shared" si="0"/>
        <v>12.851219002955327</v>
      </c>
      <c r="D8" s="4">
        <f t="shared" si="2"/>
        <v>225.36805530469985</v>
      </c>
      <c r="E8" s="4">
        <f t="shared" si="1"/>
        <v>776.37365702780608</v>
      </c>
    </row>
    <row r="9" spans="1:11" x14ac:dyDescent="0.2">
      <c r="A9">
        <v>609</v>
      </c>
      <c r="B9">
        <v>25.450109999999999</v>
      </c>
      <c r="C9">
        <f>$H$2*(1-EXP((-$H$3*A9)/$H$2))*(EXP((-$H$4*A9)/$H$2))</f>
        <v>13.039511585351844</v>
      </c>
      <c r="D9" s="4">
        <f>(B9-C9)*(B9-C9)</f>
        <v>154.02295300966728</v>
      </c>
      <c r="E9" s="4">
        <f>(B9-$G$5)*(B9-$G$5)</f>
        <v>647.70809901209998</v>
      </c>
      <c r="F9" t="s">
        <v>39</v>
      </c>
      <c r="G9" s="2">
        <f>AVERAGE(B2:B50)</f>
        <v>17.949811055555553</v>
      </c>
    </row>
    <row r="10" spans="1:11" x14ac:dyDescent="0.2">
      <c r="A10">
        <v>927</v>
      </c>
      <c r="B10">
        <v>22.597942500000002</v>
      </c>
      <c r="C10">
        <f>$H$2*(1-EXP((-$H$3*A10)/$H$2))*(EXP((-$H$4*A10)/$H$2))</f>
        <v>7.5911139482835432</v>
      </c>
      <c r="D10" s="4">
        <f>(B10-C10)*(B10-C10)</f>
        <v>225.20490318061235</v>
      </c>
      <c r="E10" s="4">
        <f>(B10-$G$5)*(B10-$G$5)</f>
        <v>510.66700523330633</v>
      </c>
      <c r="F10" t="s">
        <v>43</v>
      </c>
      <c r="G10" s="4">
        <f>SUM(D2:D501)</f>
        <v>1148.8249976738748</v>
      </c>
    </row>
    <row r="11" spans="1:11" x14ac:dyDescent="0.2">
      <c r="D11" s="4"/>
      <c r="E11" s="4"/>
      <c r="F11" t="s">
        <v>40</v>
      </c>
      <c r="G11" s="2">
        <f>SUM(E2:E501)</f>
        <v>3727.8593663445272</v>
      </c>
    </row>
    <row r="12" spans="1:11" x14ac:dyDescent="0.2">
      <c r="D12" s="4"/>
      <c r="E12" s="4"/>
      <c r="F12" t="s">
        <v>47</v>
      </c>
      <c r="G12" s="5">
        <f>COUNT(E2:E501)-2-1</f>
        <v>6</v>
      </c>
    </row>
    <row r="13" spans="1:11" x14ac:dyDescent="0.2">
      <c r="D13" s="4"/>
      <c r="E13" s="4"/>
      <c r="F13" t="s">
        <v>48</v>
      </c>
      <c r="G13">
        <f>G10/G12</f>
        <v>191.47083294564581</v>
      </c>
    </row>
    <row r="14" spans="1:11" x14ac:dyDescent="0.2">
      <c r="D14" s="4"/>
      <c r="E14" s="4"/>
      <c r="F14" t="s">
        <v>12</v>
      </c>
      <c r="G14">
        <f>SQRT(G13)</f>
        <v>13.837298614456719</v>
      </c>
    </row>
    <row r="15" spans="1:11" x14ac:dyDescent="0.2">
      <c r="D15" s="4"/>
      <c r="E15" s="4"/>
    </row>
    <row r="16" spans="1:11" x14ac:dyDescent="0.2">
      <c r="D16" s="4"/>
      <c r="E16" s="4"/>
      <c r="F16" t="s">
        <v>44</v>
      </c>
      <c r="G16">
        <f>1-(G10/G11)</f>
        <v>0.69182716278259382</v>
      </c>
    </row>
    <row r="17" spans="4:7" x14ac:dyDescent="0.2">
      <c r="D17" s="4"/>
      <c r="E17" s="4"/>
      <c r="F17" t="s">
        <v>45</v>
      </c>
      <c r="G17">
        <f>SQRT(G16)</f>
        <v>0.83176148190607735</v>
      </c>
    </row>
    <row r="18" spans="4:7" x14ac:dyDescent="0.2">
      <c r="D18" s="4"/>
      <c r="E18" s="4"/>
    </row>
    <row r="19" spans="4:7" x14ac:dyDescent="0.2">
      <c r="D19" s="4"/>
      <c r="E19" s="4"/>
      <c r="F19" s="8" t="s">
        <v>67</v>
      </c>
      <c r="G19" s="8"/>
    </row>
    <row r="20" spans="4:7" x14ac:dyDescent="0.2">
      <c r="D20" s="4"/>
      <c r="E20" s="4"/>
      <c r="F20" s="8" t="s">
        <v>64</v>
      </c>
      <c r="G20" s="8">
        <f>1/H3</f>
        <v>7.3815917949189647</v>
      </c>
    </row>
    <row r="21" spans="4:7" x14ac:dyDescent="0.2">
      <c r="D21" s="4"/>
      <c r="E21" s="4"/>
      <c r="F21" s="8" t="s">
        <v>65</v>
      </c>
      <c r="G21" s="8">
        <f>(-H5/(H3*H3))</f>
        <v>-1031.2624917267995</v>
      </c>
    </row>
    <row r="22" spans="4:7" x14ac:dyDescent="0.2">
      <c r="D22" s="4"/>
      <c r="E22" s="4"/>
      <c r="F22" s="8"/>
      <c r="G22" s="8"/>
    </row>
    <row r="23" spans="4:7" x14ac:dyDescent="0.2">
      <c r="D23" s="4"/>
      <c r="E23" s="4"/>
      <c r="F23" s="8" t="s">
        <v>66</v>
      </c>
      <c r="G23" s="8">
        <f>((I2*I2)*(G20*G20))+((I3*I3)*(G21*G21))</f>
        <v>1096433154.2253287</v>
      </c>
    </row>
    <row r="24" spans="4:7" x14ac:dyDescent="0.2">
      <c r="D24" s="4"/>
      <c r="E24" s="4"/>
      <c r="F24" s="8" t="s">
        <v>50</v>
      </c>
      <c r="G24" s="8">
        <f>SQRT(G23)</f>
        <v>33112.432019187727</v>
      </c>
    </row>
    <row r="25" spans="4:7" x14ac:dyDescent="0.2">
      <c r="D25" s="4"/>
      <c r="E25" s="4"/>
    </row>
    <row r="26" spans="4:7" x14ac:dyDescent="0.2">
      <c r="D26" s="4"/>
      <c r="E26" s="4"/>
    </row>
    <row r="27" spans="4:7" x14ac:dyDescent="0.2">
      <c r="D27" s="4"/>
      <c r="E27" s="4"/>
    </row>
    <row r="28" spans="4:7" x14ac:dyDescent="0.2">
      <c r="D28" s="4"/>
      <c r="E28" s="4"/>
    </row>
    <row r="29" spans="4:7" x14ac:dyDescent="0.2">
      <c r="D29" s="4"/>
      <c r="E29" s="4"/>
    </row>
    <row r="30" spans="4:7" x14ac:dyDescent="0.2">
      <c r="D30" s="4"/>
      <c r="E30" s="4"/>
    </row>
    <row r="31" spans="4:7" x14ac:dyDescent="0.2">
      <c r="D31" s="4"/>
      <c r="E31" s="4"/>
    </row>
    <row r="32" spans="4:7" x14ac:dyDescent="0.2">
      <c r="D32" s="4"/>
      <c r="E32" s="4"/>
    </row>
    <row r="33" spans="4:5" x14ac:dyDescent="0.2">
      <c r="D33" s="4"/>
      <c r="E33" s="4"/>
    </row>
    <row r="34" spans="4:5" x14ac:dyDescent="0.2">
      <c r="D34" s="4"/>
      <c r="E34" s="4"/>
    </row>
    <row r="35" spans="4:5" x14ac:dyDescent="0.2">
      <c r="D35" s="4"/>
      <c r="E35" s="4"/>
    </row>
    <row r="36" spans="4:5" x14ac:dyDescent="0.2">
      <c r="D36" s="4"/>
      <c r="E36" s="4"/>
    </row>
    <row r="37" spans="4:5" x14ac:dyDescent="0.2">
      <c r="D37" s="4"/>
      <c r="E37" s="4"/>
    </row>
    <row r="38" spans="4:5" x14ac:dyDescent="0.2">
      <c r="D38" s="4"/>
      <c r="E38" s="4"/>
    </row>
    <row r="39" spans="4:5" x14ac:dyDescent="0.2">
      <c r="D39" s="4"/>
      <c r="E39" s="4"/>
    </row>
    <row r="40" spans="4:5" x14ac:dyDescent="0.2">
      <c r="D40" s="4"/>
      <c r="E40" s="4"/>
    </row>
    <row r="41" spans="4:5" x14ac:dyDescent="0.2">
      <c r="D41" s="4"/>
      <c r="E41" s="4"/>
    </row>
    <row r="42" spans="4:5" x14ac:dyDescent="0.2">
      <c r="D42" s="4"/>
      <c r="E42" s="4"/>
    </row>
    <row r="43" spans="4:5" x14ac:dyDescent="0.2">
      <c r="D43" s="4"/>
      <c r="E43" s="4"/>
    </row>
    <row r="44" spans="4:5" x14ac:dyDescent="0.2">
      <c r="D44" s="4"/>
      <c r="E44" s="4"/>
    </row>
    <row r="45" spans="4:5" x14ac:dyDescent="0.2">
      <c r="D45" s="4"/>
      <c r="E45" s="4"/>
    </row>
  </sheetData>
  <phoneticPr fontId="1" type="noConversion"/>
  <pageMargins left="0.75" right="0.75" top="1" bottom="1" header="0.5" footer="0.5"/>
  <pageSetup paperSize="9"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89"/>
  <sheetViews>
    <sheetView zoomScale="98" zoomScaleNormal="98" workbookViewId="0">
      <selection activeCell="G37" sqref="G37"/>
    </sheetView>
  </sheetViews>
  <sheetFormatPr defaultRowHeight="12.75" x14ac:dyDescent="0.2"/>
  <cols>
    <col min="1" max="1" width="9.140625" style="3"/>
    <col min="4" max="4" width="10.5703125" style="4" bestFit="1" customWidth="1"/>
    <col min="5" max="5" width="11.5703125" style="4" customWidth="1"/>
    <col min="7" max="7" width="12.7109375" customWidth="1"/>
  </cols>
  <sheetData>
    <row r="1" spans="1:11" x14ac:dyDescent="0.2">
      <c r="A1" s="3" t="s">
        <v>7</v>
      </c>
      <c r="B1" t="s">
        <v>8</v>
      </c>
      <c r="C1" t="s">
        <v>9</v>
      </c>
      <c r="D1" s="4" t="s">
        <v>41</v>
      </c>
      <c r="E1" s="4" t="s">
        <v>42</v>
      </c>
      <c r="G1" t="s">
        <v>0</v>
      </c>
      <c r="H1" t="s">
        <v>13</v>
      </c>
      <c r="I1" t="s">
        <v>12</v>
      </c>
      <c r="K1" s="3" t="s">
        <v>38</v>
      </c>
    </row>
    <row r="2" spans="1:11" x14ac:dyDescent="0.2">
      <c r="A2">
        <v>1</v>
      </c>
      <c r="B2">
        <v>590.68999999999994</v>
      </c>
      <c r="C2">
        <f t="shared" ref="C2:C12" si="0">$H$4+$H$2*(1-EXP((-$H$3*A2)/$H$2))</f>
        <v>539.89191144447079</v>
      </c>
      <c r="D2" s="4">
        <f t="shared" ref="D2:D12" si="1">(B2-C2)*(B2-C2)</f>
        <v>2580.4458008953816</v>
      </c>
      <c r="E2" s="4">
        <f t="shared" ref="E2:E12" si="2">(B2-$G$13)*(B2-$G$13)</f>
        <v>804248.60945537244</v>
      </c>
      <c r="F2" s="3" t="s">
        <v>52</v>
      </c>
      <c r="G2" t="s">
        <v>1</v>
      </c>
      <c r="H2">
        <v>1345.4427425944859</v>
      </c>
      <c r="I2">
        <v>36.220256571849966</v>
      </c>
      <c r="K2" s="3" t="s">
        <v>55</v>
      </c>
    </row>
    <row r="3" spans="1:11" x14ac:dyDescent="0.2">
      <c r="A3">
        <v>8</v>
      </c>
      <c r="B3">
        <v>759</v>
      </c>
      <c r="C3">
        <f t="shared" si="0"/>
        <v>800.57102217380293</v>
      </c>
      <c r="D3" s="4">
        <f t="shared" si="1"/>
        <v>1728.1498845748149</v>
      </c>
      <c r="E3" s="4">
        <f t="shared" si="2"/>
        <v>530696.35557355406</v>
      </c>
      <c r="F3" t="s">
        <v>5</v>
      </c>
      <c r="G3" t="s">
        <v>2</v>
      </c>
      <c r="H3">
        <v>42.895899056692258</v>
      </c>
      <c r="I3">
        <v>3.644531299281156</v>
      </c>
    </row>
    <row r="4" spans="1:11" x14ac:dyDescent="0.2">
      <c r="A4">
        <v>16</v>
      </c>
      <c r="B4">
        <v>976.9000000000002</v>
      </c>
      <c r="C4">
        <f t="shared" si="0"/>
        <v>1035.2781629748599</v>
      </c>
      <c r="D4" s="4">
        <f t="shared" si="1"/>
        <v>3408.0099123192822</v>
      </c>
      <c r="E4" s="4">
        <f t="shared" si="2"/>
        <v>260701.21975537195</v>
      </c>
      <c r="F4" t="s">
        <v>28</v>
      </c>
      <c r="G4" t="s">
        <v>3</v>
      </c>
      <c r="H4">
        <v>497.6726141632634</v>
      </c>
      <c r="I4">
        <v>35.112896952730708</v>
      </c>
    </row>
    <row r="5" spans="1:11" x14ac:dyDescent="0.2">
      <c r="A5">
        <v>32</v>
      </c>
      <c r="B5">
        <v>1390.14</v>
      </c>
      <c r="C5">
        <f t="shared" si="0"/>
        <v>1358.0698687568481</v>
      </c>
      <c r="D5" s="4">
        <f t="shared" si="1"/>
        <v>1028.4933179529935</v>
      </c>
      <c r="E5" s="4">
        <f t="shared" si="2"/>
        <v>9476.8455008264737</v>
      </c>
    </row>
    <row r="6" spans="1:11" x14ac:dyDescent="0.2">
      <c r="A6">
        <v>64</v>
      </c>
      <c r="B6">
        <v>1718.4699999999998</v>
      </c>
      <c r="C6">
        <f t="shared" si="0"/>
        <v>1668.2516349643188</v>
      </c>
      <c r="D6" s="4">
        <f t="shared" si="1"/>
        <v>2521.8841868569098</v>
      </c>
      <c r="E6" s="4">
        <f t="shared" si="2"/>
        <v>53352.180364462605</v>
      </c>
      <c r="F6" s="3" t="s">
        <v>27</v>
      </c>
      <c r="H6">
        <f>H2+H4</f>
        <v>1843.1153567577494</v>
      </c>
      <c r="I6">
        <f>I2</f>
        <v>36.220256571849966</v>
      </c>
      <c r="K6" s="3" t="s">
        <v>56</v>
      </c>
    </row>
    <row r="7" spans="1:11" x14ac:dyDescent="0.2">
      <c r="A7">
        <v>96</v>
      </c>
      <c r="B7">
        <v>1787.58</v>
      </c>
      <c r="C7">
        <f t="shared" si="0"/>
        <v>1780.0752461786906</v>
      </c>
      <c r="D7" s="4">
        <f t="shared" si="1"/>
        <v>56.321329918457295</v>
      </c>
      <c r="E7" s="4">
        <f t="shared" si="2"/>
        <v>90054.553719008079</v>
      </c>
      <c r="F7" s="3" t="s">
        <v>5</v>
      </c>
      <c r="H7">
        <f>H3</f>
        <v>42.895899056692258</v>
      </c>
      <c r="I7">
        <f>I3</f>
        <v>3.644531299281156</v>
      </c>
    </row>
    <row r="8" spans="1:11" x14ac:dyDescent="0.2">
      <c r="A8">
        <v>128</v>
      </c>
      <c r="B8">
        <v>1802.3800000000003</v>
      </c>
      <c r="C8">
        <f t="shared" si="0"/>
        <v>1820.3887700131611</v>
      </c>
      <c r="D8" s="4">
        <f t="shared" si="1"/>
        <v>324.31579738691806</v>
      </c>
      <c r="E8" s="4">
        <f t="shared" si="2"/>
        <v>99156.284628099238</v>
      </c>
      <c r="F8" s="3" t="s">
        <v>28</v>
      </c>
      <c r="H8">
        <f>-H4</f>
        <v>-497.6726141632634</v>
      </c>
      <c r="I8">
        <f>I4</f>
        <v>35.112896952730708</v>
      </c>
    </row>
    <row r="9" spans="1:11" x14ac:dyDescent="0.2">
      <c r="A9">
        <v>160</v>
      </c>
      <c r="B9">
        <v>1827.2900000000002</v>
      </c>
      <c r="C9">
        <f t="shared" si="0"/>
        <v>1834.9221962395497</v>
      </c>
      <c r="D9" s="4">
        <f t="shared" si="1"/>
        <v>58.250419438994406</v>
      </c>
      <c r="E9" s="4">
        <f t="shared" si="2"/>
        <v>115464.65781900824</v>
      </c>
      <c r="F9" s="3" t="s">
        <v>37</v>
      </c>
      <c r="H9">
        <f>H6/H7</f>
        <v>42.967169293312715</v>
      </c>
      <c r="K9" s="3" t="s">
        <v>54</v>
      </c>
    </row>
    <row r="10" spans="1:11" x14ac:dyDescent="0.2">
      <c r="A10">
        <v>192</v>
      </c>
      <c r="B10">
        <v>1828</v>
      </c>
      <c r="C10">
        <f t="shared" si="0"/>
        <v>1840.1616409168535</v>
      </c>
      <c r="D10" s="4">
        <f t="shared" si="1"/>
        <v>147.90550979048422</v>
      </c>
      <c r="E10" s="4">
        <f t="shared" si="2"/>
        <v>115947.67920991719</v>
      </c>
      <c r="F10" s="3" t="s">
        <v>53</v>
      </c>
      <c r="H10">
        <f>H8/H7</f>
        <v>-11.601869295373136</v>
      </c>
      <c r="K10" t="s">
        <v>51</v>
      </c>
    </row>
    <row r="11" spans="1:11" x14ac:dyDescent="0.2">
      <c r="A11">
        <v>224</v>
      </c>
      <c r="B11">
        <v>1838.0699999999997</v>
      </c>
      <c r="C11">
        <f t="shared" si="0"/>
        <v>1842.0505128248885</v>
      </c>
      <c r="D11" s="4">
        <f t="shared" si="1"/>
        <v>15.84448234910437</v>
      </c>
      <c r="E11" s="4">
        <f t="shared" si="2"/>
        <v>122906.97381900789</v>
      </c>
    </row>
    <row r="12" spans="1:11" x14ac:dyDescent="0.2">
      <c r="A12">
        <v>255</v>
      </c>
      <c r="B12">
        <v>1843.86</v>
      </c>
      <c r="C12">
        <f t="shared" si="0"/>
        <v>1842.7190335125556</v>
      </c>
      <c r="D12" s="4">
        <f t="shared" si="1"/>
        <v>1.3018045254709896</v>
      </c>
      <c r="E12" s="4">
        <f t="shared" si="2"/>
        <v>127000.22484628075</v>
      </c>
    </row>
    <row r="13" spans="1:11" x14ac:dyDescent="0.2">
      <c r="A13"/>
      <c r="F13" t="s">
        <v>39</v>
      </c>
      <c r="G13" s="2">
        <f>AVERAGE(B2:B189)</f>
        <v>1487.4890909090911</v>
      </c>
      <c r="H13">
        <v>1.2783841729899543</v>
      </c>
    </row>
    <row r="14" spans="1:11" x14ac:dyDescent="0.2">
      <c r="A14"/>
      <c r="F14" t="s">
        <v>43</v>
      </c>
      <c r="G14" s="4">
        <f>SUM(D2:D189)</f>
        <v>11870.92244600881</v>
      </c>
    </row>
    <row r="15" spans="1:11" x14ac:dyDescent="0.2">
      <c r="A15"/>
      <c r="F15" t="s">
        <v>40</v>
      </c>
      <c r="G15" s="13">
        <f>SUM(E2:E189)</f>
        <v>2329005.5846909089</v>
      </c>
    </row>
    <row r="16" spans="1:11" x14ac:dyDescent="0.2">
      <c r="A16"/>
    </row>
    <row r="17" spans="1:8" x14ac:dyDescent="0.2">
      <c r="A17"/>
      <c r="F17" t="s">
        <v>44</v>
      </c>
      <c r="G17">
        <f>1-(G14/G15)</f>
        <v>0.99490300816621513</v>
      </c>
    </row>
    <row r="18" spans="1:8" x14ac:dyDescent="0.2">
      <c r="A18"/>
      <c r="F18" t="s">
        <v>45</v>
      </c>
      <c r="G18">
        <f>SQRT(G17)</f>
        <v>0.99744824836490398</v>
      </c>
      <c r="H18" t="s">
        <v>46</v>
      </c>
    </row>
    <row r="19" spans="1:8" x14ac:dyDescent="0.2">
      <c r="A19"/>
    </row>
    <row r="20" spans="1:8" x14ac:dyDescent="0.2">
      <c r="A20"/>
    </row>
    <row r="21" spans="1:8" x14ac:dyDescent="0.2">
      <c r="A21"/>
    </row>
    <row r="22" spans="1:8" x14ac:dyDescent="0.2">
      <c r="A22"/>
    </row>
    <row r="23" spans="1:8" x14ac:dyDescent="0.2">
      <c r="A23"/>
    </row>
    <row r="24" spans="1:8" x14ac:dyDescent="0.2">
      <c r="A24"/>
    </row>
    <row r="25" spans="1:8" x14ac:dyDescent="0.2">
      <c r="A25"/>
    </row>
    <row r="26" spans="1:8" x14ac:dyDescent="0.2">
      <c r="A26"/>
    </row>
    <row r="27" spans="1:8" x14ac:dyDescent="0.2">
      <c r="A27"/>
    </row>
    <row r="28" spans="1:8" x14ac:dyDescent="0.2">
      <c r="A28"/>
    </row>
    <row r="29" spans="1:8" x14ac:dyDescent="0.2">
      <c r="A29"/>
    </row>
    <row r="30" spans="1:8" x14ac:dyDescent="0.2">
      <c r="A30"/>
    </row>
    <row r="31" spans="1:8" x14ac:dyDescent="0.2">
      <c r="A31"/>
    </row>
    <row r="32" spans="1:8" x14ac:dyDescent="0.2">
      <c r="A32"/>
    </row>
    <row r="33" spans="1:1" x14ac:dyDescent="0.2">
      <c r="A33"/>
    </row>
    <row r="34" spans="1:1" x14ac:dyDescent="0.2">
      <c r="A34"/>
    </row>
    <row r="35" spans="1:1" x14ac:dyDescent="0.2">
      <c r="A35"/>
    </row>
    <row r="36" spans="1:1" x14ac:dyDescent="0.2">
      <c r="A36"/>
    </row>
    <row r="37" spans="1:1" x14ac:dyDescent="0.2">
      <c r="A37"/>
    </row>
    <row r="38" spans="1:1" x14ac:dyDescent="0.2">
      <c r="A38"/>
    </row>
    <row r="39" spans="1:1" x14ac:dyDescent="0.2">
      <c r="A39"/>
    </row>
    <row r="40" spans="1:1" x14ac:dyDescent="0.2">
      <c r="A40"/>
    </row>
    <row r="41" spans="1:1" x14ac:dyDescent="0.2">
      <c r="A41"/>
    </row>
    <row r="42" spans="1:1" x14ac:dyDescent="0.2">
      <c r="A42"/>
    </row>
    <row r="43" spans="1:1" x14ac:dyDescent="0.2">
      <c r="A43"/>
    </row>
    <row r="44" spans="1:1" x14ac:dyDescent="0.2">
      <c r="A44"/>
    </row>
    <row r="45" spans="1:1" x14ac:dyDescent="0.2">
      <c r="A45"/>
    </row>
    <row r="46" spans="1:1" x14ac:dyDescent="0.2">
      <c r="A46"/>
    </row>
    <row r="47" spans="1:1" x14ac:dyDescent="0.2">
      <c r="A47"/>
    </row>
    <row r="48" spans="1:1" x14ac:dyDescent="0.2">
      <c r="A48"/>
    </row>
    <row r="49" spans="1:1" x14ac:dyDescent="0.2">
      <c r="A49"/>
    </row>
    <row r="50" spans="1:1" x14ac:dyDescent="0.2">
      <c r="A50"/>
    </row>
    <row r="51" spans="1:1" x14ac:dyDescent="0.2">
      <c r="A51"/>
    </row>
    <row r="52" spans="1:1" x14ac:dyDescent="0.2">
      <c r="A52"/>
    </row>
    <row r="53" spans="1:1" x14ac:dyDescent="0.2">
      <c r="A53"/>
    </row>
    <row r="54" spans="1:1" x14ac:dyDescent="0.2">
      <c r="A54"/>
    </row>
    <row r="55" spans="1:1" x14ac:dyDescent="0.2">
      <c r="A55"/>
    </row>
    <row r="56" spans="1:1" x14ac:dyDescent="0.2">
      <c r="A56"/>
    </row>
    <row r="57" spans="1:1" x14ac:dyDescent="0.2">
      <c r="A57"/>
    </row>
    <row r="58" spans="1:1" x14ac:dyDescent="0.2">
      <c r="A58"/>
    </row>
    <row r="59" spans="1:1" x14ac:dyDescent="0.2">
      <c r="A59"/>
    </row>
    <row r="60" spans="1:1" x14ac:dyDescent="0.2">
      <c r="A60"/>
    </row>
    <row r="61" spans="1:1" x14ac:dyDescent="0.2">
      <c r="A61"/>
    </row>
    <row r="62" spans="1:1" x14ac:dyDescent="0.2">
      <c r="A62"/>
    </row>
    <row r="63" spans="1:1" x14ac:dyDescent="0.2">
      <c r="A63"/>
    </row>
    <row r="64" spans="1:1" x14ac:dyDescent="0.2">
      <c r="A64"/>
    </row>
    <row r="65" spans="1:1" x14ac:dyDescent="0.2">
      <c r="A65"/>
    </row>
    <row r="66" spans="1:1" x14ac:dyDescent="0.2">
      <c r="A66"/>
    </row>
    <row r="67" spans="1:1" x14ac:dyDescent="0.2">
      <c r="A67"/>
    </row>
    <row r="68" spans="1:1" x14ac:dyDescent="0.2">
      <c r="A68"/>
    </row>
    <row r="69" spans="1:1" x14ac:dyDescent="0.2">
      <c r="A69"/>
    </row>
    <row r="70" spans="1:1" x14ac:dyDescent="0.2">
      <c r="A70"/>
    </row>
    <row r="71" spans="1:1" x14ac:dyDescent="0.2">
      <c r="A71"/>
    </row>
    <row r="72" spans="1:1" x14ac:dyDescent="0.2">
      <c r="A72"/>
    </row>
    <row r="73" spans="1:1" x14ac:dyDescent="0.2">
      <c r="A73"/>
    </row>
    <row r="74" spans="1:1" x14ac:dyDescent="0.2">
      <c r="A74"/>
    </row>
    <row r="75" spans="1:1" x14ac:dyDescent="0.2">
      <c r="A75"/>
    </row>
    <row r="76" spans="1:1" x14ac:dyDescent="0.2">
      <c r="A76"/>
    </row>
    <row r="77" spans="1:1" x14ac:dyDescent="0.2">
      <c r="A77"/>
    </row>
    <row r="78" spans="1:1" x14ac:dyDescent="0.2">
      <c r="A78"/>
    </row>
    <row r="79" spans="1:1" x14ac:dyDescent="0.2">
      <c r="A79"/>
    </row>
    <row r="80" spans="1:1" x14ac:dyDescent="0.2">
      <c r="A80"/>
    </row>
    <row r="81" spans="1:1" x14ac:dyDescent="0.2">
      <c r="A81"/>
    </row>
    <row r="82" spans="1:1" x14ac:dyDescent="0.2">
      <c r="A82"/>
    </row>
    <row r="83" spans="1:1" x14ac:dyDescent="0.2">
      <c r="A83"/>
    </row>
    <row r="84" spans="1:1" x14ac:dyDescent="0.2">
      <c r="A84"/>
    </row>
    <row r="85" spans="1:1" x14ac:dyDescent="0.2">
      <c r="A85"/>
    </row>
    <row r="86" spans="1:1" x14ac:dyDescent="0.2">
      <c r="A86"/>
    </row>
    <row r="87" spans="1:1" x14ac:dyDescent="0.2">
      <c r="A87"/>
    </row>
    <row r="88" spans="1:1" x14ac:dyDescent="0.2">
      <c r="A88"/>
    </row>
    <row r="89" spans="1:1" x14ac:dyDescent="0.2">
      <c r="A89"/>
    </row>
    <row r="90" spans="1:1" x14ac:dyDescent="0.2">
      <c r="A90"/>
    </row>
    <row r="91" spans="1:1" x14ac:dyDescent="0.2">
      <c r="A91"/>
    </row>
    <row r="92" spans="1:1" x14ac:dyDescent="0.2">
      <c r="A92"/>
    </row>
    <row r="93" spans="1:1" x14ac:dyDescent="0.2">
      <c r="A93"/>
    </row>
    <row r="94" spans="1:1" x14ac:dyDescent="0.2">
      <c r="A94"/>
    </row>
    <row r="95" spans="1:1" x14ac:dyDescent="0.2">
      <c r="A95"/>
    </row>
    <row r="96" spans="1:1" x14ac:dyDescent="0.2">
      <c r="A96"/>
    </row>
    <row r="97" spans="1:1" x14ac:dyDescent="0.2">
      <c r="A97"/>
    </row>
    <row r="98" spans="1:1" x14ac:dyDescent="0.2">
      <c r="A98"/>
    </row>
    <row r="99" spans="1:1" x14ac:dyDescent="0.2">
      <c r="A99"/>
    </row>
    <row r="100" spans="1:1" x14ac:dyDescent="0.2">
      <c r="A100"/>
    </row>
    <row r="101" spans="1:1" x14ac:dyDescent="0.2">
      <c r="A101"/>
    </row>
    <row r="102" spans="1:1" x14ac:dyDescent="0.2">
      <c r="A102"/>
    </row>
    <row r="103" spans="1:1" x14ac:dyDescent="0.2">
      <c r="A103"/>
    </row>
    <row r="104" spans="1:1" x14ac:dyDescent="0.2">
      <c r="A104"/>
    </row>
    <row r="105" spans="1:1" x14ac:dyDescent="0.2">
      <c r="A105"/>
    </row>
    <row r="106" spans="1:1" x14ac:dyDescent="0.2">
      <c r="A106"/>
    </row>
    <row r="107" spans="1:1" x14ac:dyDescent="0.2">
      <c r="A107"/>
    </row>
    <row r="108" spans="1:1" x14ac:dyDescent="0.2">
      <c r="A108"/>
    </row>
    <row r="109" spans="1:1" x14ac:dyDescent="0.2">
      <c r="A109"/>
    </row>
    <row r="110" spans="1:1" x14ac:dyDescent="0.2">
      <c r="A110"/>
    </row>
    <row r="111" spans="1:1" x14ac:dyDescent="0.2">
      <c r="A111"/>
    </row>
    <row r="112" spans="1:1" x14ac:dyDescent="0.2">
      <c r="A112"/>
    </row>
    <row r="113" spans="1:1" x14ac:dyDescent="0.2">
      <c r="A113"/>
    </row>
    <row r="114" spans="1:1" x14ac:dyDescent="0.2">
      <c r="A114"/>
    </row>
    <row r="115" spans="1:1" x14ac:dyDescent="0.2">
      <c r="A115"/>
    </row>
    <row r="116" spans="1:1" x14ac:dyDescent="0.2">
      <c r="A116"/>
    </row>
    <row r="117" spans="1:1" x14ac:dyDescent="0.2">
      <c r="A117"/>
    </row>
    <row r="118" spans="1:1" x14ac:dyDescent="0.2">
      <c r="A118"/>
    </row>
    <row r="119" spans="1:1" x14ac:dyDescent="0.2">
      <c r="A119"/>
    </row>
    <row r="120" spans="1:1" x14ac:dyDescent="0.2">
      <c r="A120"/>
    </row>
    <row r="121" spans="1:1" x14ac:dyDescent="0.2">
      <c r="A121"/>
    </row>
    <row r="122" spans="1:1" x14ac:dyDescent="0.2">
      <c r="A122"/>
    </row>
    <row r="123" spans="1:1" x14ac:dyDescent="0.2">
      <c r="A123"/>
    </row>
    <row r="124" spans="1:1" x14ac:dyDescent="0.2">
      <c r="A124"/>
    </row>
    <row r="125" spans="1:1" x14ac:dyDescent="0.2">
      <c r="A125"/>
    </row>
    <row r="126" spans="1:1" x14ac:dyDescent="0.2">
      <c r="A126"/>
    </row>
    <row r="127" spans="1:1" x14ac:dyDescent="0.2">
      <c r="A127"/>
    </row>
    <row r="128" spans="1:1" x14ac:dyDescent="0.2">
      <c r="A128"/>
    </row>
    <row r="129" spans="1:1" x14ac:dyDescent="0.2">
      <c r="A129"/>
    </row>
    <row r="130" spans="1:1" x14ac:dyDescent="0.2">
      <c r="A130"/>
    </row>
    <row r="131" spans="1:1" x14ac:dyDescent="0.2">
      <c r="A131"/>
    </row>
    <row r="132" spans="1:1" x14ac:dyDescent="0.2">
      <c r="A132"/>
    </row>
    <row r="133" spans="1:1" x14ac:dyDescent="0.2">
      <c r="A133"/>
    </row>
    <row r="134" spans="1:1" x14ac:dyDescent="0.2">
      <c r="A134"/>
    </row>
    <row r="135" spans="1:1" x14ac:dyDescent="0.2">
      <c r="A135"/>
    </row>
    <row r="136" spans="1:1" x14ac:dyDescent="0.2">
      <c r="A136"/>
    </row>
    <row r="137" spans="1:1" x14ac:dyDescent="0.2">
      <c r="A137"/>
    </row>
    <row r="138" spans="1:1" x14ac:dyDescent="0.2">
      <c r="A138"/>
    </row>
    <row r="139" spans="1:1" x14ac:dyDescent="0.2">
      <c r="A139"/>
    </row>
    <row r="140" spans="1:1" x14ac:dyDescent="0.2">
      <c r="A140"/>
    </row>
    <row r="141" spans="1:1" x14ac:dyDescent="0.2">
      <c r="A141"/>
    </row>
    <row r="142" spans="1:1" x14ac:dyDescent="0.2">
      <c r="A142"/>
    </row>
    <row r="143" spans="1:1" x14ac:dyDescent="0.2">
      <c r="A143"/>
    </row>
    <row r="144" spans="1:1" x14ac:dyDescent="0.2">
      <c r="A144"/>
    </row>
    <row r="145" spans="1:1" x14ac:dyDescent="0.2">
      <c r="A145"/>
    </row>
    <row r="146" spans="1:1" x14ac:dyDescent="0.2">
      <c r="A146"/>
    </row>
    <row r="147" spans="1:1" x14ac:dyDescent="0.2">
      <c r="A147"/>
    </row>
    <row r="148" spans="1:1" x14ac:dyDescent="0.2">
      <c r="A148"/>
    </row>
    <row r="149" spans="1:1" x14ac:dyDescent="0.2">
      <c r="A149"/>
    </row>
    <row r="150" spans="1:1" x14ac:dyDescent="0.2">
      <c r="A150"/>
    </row>
    <row r="151" spans="1:1" x14ac:dyDescent="0.2">
      <c r="A151"/>
    </row>
    <row r="152" spans="1:1" x14ac:dyDescent="0.2">
      <c r="A152"/>
    </row>
    <row r="153" spans="1:1" x14ac:dyDescent="0.2">
      <c r="A153"/>
    </row>
    <row r="154" spans="1:1" x14ac:dyDescent="0.2">
      <c r="A154"/>
    </row>
    <row r="155" spans="1:1" x14ac:dyDescent="0.2">
      <c r="A155"/>
    </row>
    <row r="156" spans="1:1" x14ac:dyDescent="0.2">
      <c r="A156"/>
    </row>
    <row r="157" spans="1:1" x14ac:dyDescent="0.2">
      <c r="A157"/>
    </row>
    <row r="158" spans="1:1" x14ac:dyDescent="0.2">
      <c r="A158"/>
    </row>
    <row r="159" spans="1:1" x14ac:dyDescent="0.2">
      <c r="A159"/>
    </row>
    <row r="160" spans="1:1" x14ac:dyDescent="0.2">
      <c r="A160"/>
    </row>
    <row r="161" spans="1:1" x14ac:dyDescent="0.2">
      <c r="A161"/>
    </row>
    <row r="162" spans="1:1" x14ac:dyDescent="0.2">
      <c r="A162"/>
    </row>
    <row r="163" spans="1:1" x14ac:dyDescent="0.2">
      <c r="A163"/>
    </row>
    <row r="164" spans="1:1" x14ac:dyDescent="0.2">
      <c r="A164"/>
    </row>
    <row r="165" spans="1:1" x14ac:dyDescent="0.2">
      <c r="A165"/>
    </row>
    <row r="166" spans="1:1" x14ac:dyDescent="0.2">
      <c r="A166"/>
    </row>
    <row r="167" spans="1:1" x14ac:dyDescent="0.2">
      <c r="A167"/>
    </row>
    <row r="168" spans="1:1" x14ac:dyDescent="0.2">
      <c r="A168"/>
    </row>
    <row r="169" spans="1:1" x14ac:dyDescent="0.2">
      <c r="A169"/>
    </row>
    <row r="170" spans="1:1" x14ac:dyDescent="0.2">
      <c r="A170"/>
    </row>
    <row r="171" spans="1:1" x14ac:dyDescent="0.2">
      <c r="A171"/>
    </row>
    <row r="172" spans="1:1" x14ac:dyDescent="0.2">
      <c r="A172"/>
    </row>
    <row r="173" spans="1:1" x14ac:dyDescent="0.2">
      <c r="A173"/>
    </row>
    <row r="174" spans="1:1" x14ac:dyDescent="0.2">
      <c r="A174"/>
    </row>
    <row r="175" spans="1:1" x14ac:dyDescent="0.2">
      <c r="A175"/>
    </row>
    <row r="176" spans="1:1" x14ac:dyDescent="0.2">
      <c r="A176"/>
    </row>
    <row r="177" spans="1:1" x14ac:dyDescent="0.2">
      <c r="A177"/>
    </row>
    <row r="178" spans="1:1" x14ac:dyDescent="0.2">
      <c r="A178"/>
    </row>
    <row r="179" spans="1:1" x14ac:dyDescent="0.2">
      <c r="A179"/>
    </row>
    <row r="180" spans="1:1" x14ac:dyDescent="0.2">
      <c r="A180"/>
    </row>
    <row r="181" spans="1:1" x14ac:dyDescent="0.2">
      <c r="A181"/>
    </row>
    <row r="182" spans="1:1" x14ac:dyDescent="0.2">
      <c r="A182"/>
    </row>
    <row r="183" spans="1:1" x14ac:dyDescent="0.2">
      <c r="A183"/>
    </row>
    <row r="184" spans="1:1" x14ac:dyDescent="0.2">
      <c r="A184"/>
    </row>
    <row r="185" spans="1:1" x14ac:dyDescent="0.2">
      <c r="A185"/>
    </row>
    <row r="186" spans="1:1" x14ac:dyDescent="0.2">
      <c r="A186"/>
    </row>
    <row r="187" spans="1:1" x14ac:dyDescent="0.2">
      <c r="A187"/>
    </row>
    <row r="188" spans="1:1" x14ac:dyDescent="0.2">
      <c r="A188"/>
    </row>
    <row r="189" spans="1:1" x14ac:dyDescent="0.2">
      <c r="A189"/>
    </row>
  </sheetData>
  <phoneticPr fontId="1" type="noConversion"/>
  <conditionalFormatting sqref="A2:I18">
    <cfRule type="dataBar" priority="1">
      <dataBar>
        <cfvo type="min"/>
        <cfvo type="max"/>
        <color rgb="FF638EC6"/>
      </dataBar>
      <extLst>
        <ext xmlns:x14="http://schemas.microsoft.com/office/spreadsheetml/2009/9/main" uri="{B025F937-C7B1-47D3-B67F-A62EFF666E3E}">
          <x14:id>{CB765E01-0D5D-4E09-BAB6-FBC8C9C5265D}</x14:id>
        </ext>
      </extLst>
    </cfRule>
  </conditionalFormatting>
  <pageMargins left="0.75" right="0.75" top="1" bottom="1" header="0.5" footer="0.5"/>
  <pageSetup paperSize="9" orientation="portrait" verticalDpi="0" r:id="rId1"/>
  <headerFooter alignWithMargins="0"/>
  <drawing r:id="rId2"/>
  <extLst>
    <ext xmlns:x14="http://schemas.microsoft.com/office/spreadsheetml/2009/9/main" uri="{78C0D931-6437-407d-A8EE-F0AAD7539E65}">
      <x14:conditionalFormattings>
        <x14:conditionalFormatting xmlns:xm="http://schemas.microsoft.com/office/excel/2006/main">
          <x14:cfRule type="dataBar" id="{CB765E01-0D5D-4E09-BAB6-FBC8C9C5265D}">
            <x14:dataBar minLength="0" maxLength="100" gradient="0">
              <x14:cfvo type="autoMin"/>
              <x14:cfvo type="autoMax"/>
              <x14:negativeFillColor rgb="FFFF0000"/>
              <x14:axisColor rgb="FF000000"/>
            </x14:dataBar>
          </x14:cfRule>
          <xm:sqref>A2:I18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17"/>
  <sheetViews>
    <sheetView workbookViewId="0">
      <selection activeCell="K2" sqref="K2"/>
    </sheetView>
  </sheetViews>
  <sheetFormatPr defaultRowHeight="12.75" x14ac:dyDescent="0.2"/>
  <cols>
    <col min="1" max="1" width="9.140625" style="1"/>
    <col min="16" max="16" width="11.7109375" customWidth="1"/>
    <col min="17" max="17" width="12" customWidth="1"/>
  </cols>
  <sheetData>
    <row r="1" spans="1:17" x14ac:dyDescent="0.2">
      <c r="A1" s="1" t="s">
        <v>7</v>
      </c>
      <c r="B1" t="s">
        <v>8</v>
      </c>
      <c r="C1" t="s">
        <v>9</v>
      </c>
      <c r="G1" t="s">
        <v>0</v>
      </c>
      <c r="H1" t="s">
        <v>13</v>
      </c>
      <c r="I1" t="s">
        <v>12</v>
      </c>
      <c r="K1" s="3" t="s">
        <v>68</v>
      </c>
    </row>
    <row r="2" spans="1:17" x14ac:dyDescent="0.2">
      <c r="A2">
        <v>0</v>
      </c>
      <c r="B2">
        <v>3.2000000000000001E-2</v>
      </c>
      <c r="C2">
        <f>$H$2*(1-EXP(-$H$3*A2))+$H$4*(EXP(-$H$5*A2))</f>
        <v>3.2000000000000001E-2</v>
      </c>
      <c r="F2" t="s">
        <v>30</v>
      </c>
      <c r="G2" t="s">
        <v>1</v>
      </c>
      <c r="H2">
        <v>0.41006122929044519</v>
      </c>
      <c r="I2">
        <v>1.1173180697681702E-2</v>
      </c>
      <c r="K2" s="3" t="s">
        <v>77</v>
      </c>
    </row>
    <row r="3" spans="1:17" x14ac:dyDescent="0.2">
      <c r="A3">
        <v>10</v>
      </c>
      <c r="B3">
        <v>0.40200000000000002</v>
      </c>
      <c r="C3">
        <f>$H$2*(1-EXP(-$H$3*A3))+$H$4*(EXP(-$H$5*A3))</f>
        <v>0.40200000000000002</v>
      </c>
      <c r="F3" t="s">
        <v>31</v>
      </c>
      <c r="G3" t="s">
        <v>2</v>
      </c>
      <c r="H3">
        <v>0.22949141283225899</v>
      </c>
      <c r="I3">
        <v>2.933898019762772E-3</v>
      </c>
    </row>
    <row r="4" spans="1:17" x14ac:dyDescent="0.2">
      <c r="A4">
        <v>70</v>
      </c>
      <c r="B4">
        <v>0.45200000000000001</v>
      </c>
      <c r="C4">
        <f>$H$2*(1-EXP(-$H$3*A4))+$H$4*(EXP(-$H$5*A4))</f>
        <v>0.45200000000000001</v>
      </c>
      <c r="F4" t="s">
        <v>32</v>
      </c>
      <c r="G4" t="s">
        <v>3</v>
      </c>
      <c r="H4">
        <v>3.2000000000000001E-2</v>
      </c>
      <c r="I4">
        <v>8.4374584588951668E-3</v>
      </c>
    </row>
    <row r="5" spans="1:17" x14ac:dyDescent="0.2">
      <c r="A5">
        <v>380</v>
      </c>
      <c r="B5">
        <v>0.54900000000000004</v>
      </c>
      <c r="C5">
        <f>$H$2*(1-EXP(-$H$3*A5))+$H$4*(EXP(-$H$5*A5))</f>
        <v>0.54899999999999993</v>
      </c>
      <c r="F5" t="s">
        <v>33</v>
      </c>
      <c r="G5" t="s">
        <v>34</v>
      </c>
      <c r="H5">
        <v>-3.8639406178699789E-3</v>
      </c>
      <c r="I5">
        <v>3.5715709363885918E-4</v>
      </c>
    </row>
    <row r="6" spans="1:17" x14ac:dyDescent="0.2">
      <c r="A6"/>
    </row>
    <row r="7" spans="1:17" x14ac:dyDescent="0.2">
      <c r="A7"/>
    </row>
    <row r="8" spans="1:17" x14ac:dyDescent="0.2">
      <c r="A8"/>
      <c r="O8" s="9"/>
      <c r="P8" s="9"/>
      <c r="Q8" s="3"/>
    </row>
    <row r="9" spans="1:17" x14ac:dyDescent="0.2">
      <c r="A9"/>
      <c r="O9" s="3"/>
      <c r="P9" s="10"/>
      <c r="Q9" s="10"/>
    </row>
    <row r="10" spans="1:17" x14ac:dyDescent="0.2">
      <c r="A10"/>
      <c r="O10" s="3" t="s">
        <v>69</v>
      </c>
      <c r="P10">
        <v>0.13114671018855154</v>
      </c>
      <c r="Q10">
        <v>1.1173180697681702E-2</v>
      </c>
    </row>
    <row r="11" spans="1:17" x14ac:dyDescent="0.2">
      <c r="A11"/>
      <c r="O11" s="3" t="s">
        <v>70</v>
      </c>
      <c r="P11">
        <v>1.502807649345959E-2</v>
      </c>
      <c r="Q11">
        <v>2.933898019762772E-3</v>
      </c>
    </row>
    <row r="12" spans="1:17" x14ac:dyDescent="0.2">
      <c r="A12"/>
      <c r="O12" s="3" t="s">
        <v>71</v>
      </c>
      <c r="P12">
        <v>1.1764832121548215E-2</v>
      </c>
      <c r="Q12">
        <v>8.4374584588951668E-3</v>
      </c>
    </row>
    <row r="13" spans="1:17" x14ac:dyDescent="0.2">
      <c r="A13"/>
      <c r="O13" s="3" t="s">
        <v>72</v>
      </c>
      <c r="P13">
        <v>-7.609488812067314E-4</v>
      </c>
      <c r="Q13">
        <v>3.5715709363885918E-4</v>
      </c>
    </row>
    <row r="14" spans="1:17" x14ac:dyDescent="0.2">
      <c r="A14"/>
      <c r="O14" s="11"/>
      <c r="P14" s="11" t="s">
        <v>73</v>
      </c>
      <c r="Q14" s="11" t="s">
        <v>74</v>
      </c>
    </row>
    <row r="15" spans="1:17" x14ac:dyDescent="0.2">
      <c r="A15"/>
      <c r="O15" s="11" t="s">
        <v>75</v>
      </c>
      <c r="P15" s="11">
        <f>LN(0.5)/-P11</f>
        <v>46.123479665651935</v>
      </c>
      <c r="Q15" s="12">
        <f>P10/(P10+P12)</f>
        <v>0.91767752323307772</v>
      </c>
    </row>
    <row r="16" spans="1:17" x14ac:dyDescent="0.2">
      <c r="A16"/>
      <c r="O16" s="11" t="s">
        <v>76</v>
      </c>
      <c r="P16" s="11">
        <f>LN(0.5)/-P13</f>
        <v>-910.89848172289248</v>
      </c>
      <c r="Q16" s="12">
        <f>P12/(P10+P12)</f>
        <v>8.2322476766922267E-2</v>
      </c>
    </row>
    <row r="17" spans="1:1" x14ac:dyDescent="0.2">
      <c r="A17"/>
    </row>
  </sheetData>
  <phoneticPr fontId="1" type="noConversion"/>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K17"/>
  <sheetViews>
    <sheetView workbookViewId="0">
      <selection activeCell="J38" sqref="J38"/>
    </sheetView>
  </sheetViews>
  <sheetFormatPr defaultRowHeight="12.75" x14ac:dyDescent="0.2"/>
  <cols>
    <col min="1" max="1" width="9.140625" style="1"/>
  </cols>
  <sheetData>
    <row r="1" spans="1:11" x14ac:dyDescent="0.2">
      <c r="A1" s="1" t="s">
        <v>7</v>
      </c>
      <c r="B1" t="s">
        <v>8</v>
      </c>
      <c r="C1" t="s">
        <v>9</v>
      </c>
      <c r="G1" t="s">
        <v>0</v>
      </c>
      <c r="H1" t="s">
        <v>13</v>
      </c>
      <c r="I1" t="s">
        <v>12</v>
      </c>
      <c r="K1" t="s">
        <v>29</v>
      </c>
    </row>
    <row r="2" spans="1:11" x14ac:dyDescent="0.2">
      <c r="A2">
        <v>0</v>
      </c>
      <c r="B2">
        <v>0.27100000000000002</v>
      </c>
      <c r="C2">
        <f t="shared" ref="C2:C17" si="0">$H$6+$H$2*(1-EXP(-$H$3*A2))+$H$4*(EXP(-$H$5*A2))</f>
        <v>0.53854449414041028</v>
      </c>
      <c r="F2" t="s">
        <v>30</v>
      </c>
      <c r="G2" t="s">
        <v>1</v>
      </c>
      <c r="H2">
        <v>-151126.24766077299</v>
      </c>
      <c r="I2">
        <v>0.14179606926200009</v>
      </c>
      <c r="K2" s="3" t="s">
        <v>78</v>
      </c>
    </row>
    <row r="3" spans="1:11" x14ac:dyDescent="0.2">
      <c r="A3">
        <v>1.7361111111069416E-4</v>
      </c>
      <c r="B3">
        <v>0.38300000000000001</v>
      </c>
      <c r="C3">
        <f t="shared" si="0"/>
        <v>0.54262277088602673</v>
      </c>
      <c r="F3" t="s">
        <v>31</v>
      </c>
      <c r="G3" t="s">
        <v>2</v>
      </c>
      <c r="H3">
        <v>-2.5626184976222511E-3</v>
      </c>
      <c r="I3">
        <v>0.30527367452581117</v>
      </c>
    </row>
    <row r="4" spans="1:11" x14ac:dyDescent="0.2">
      <c r="A4">
        <v>3.9351851851809894E-4</v>
      </c>
      <c r="B4">
        <v>0.50600000000000001</v>
      </c>
      <c r="C4">
        <f t="shared" si="0"/>
        <v>0.54775134519084645</v>
      </c>
      <c r="F4" t="s">
        <v>32</v>
      </c>
      <c r="G4" t="s">
        <v>3</v>
      </c>
      <c r="H4">
        <v>-153.58329882531245</v>
      </c>
      <c r="I4">
        <v>0.56632714778842963</v>
      </c>
    </row>
    <row r="5" spans="1:11" x14ac:dyDescent="0.2">
      <c r="A5">
        <v>6.7129629629592014E-4</v>
      </c>
      <c r="B5">
        <v>0.59899999999999998</v>
      </c>
      <c r="C5">
        <f t="shared" si="0"/>
        <v>0.55417001632724805</v>
      </c>
      <c r="F5" t="s">
        <v>33</v>
      </c>
      <c r="G5" t="s">
        <v>34</v>
      </c>
      <c r="H5">
        <v>-2.3681829556518479</v>
      </c>
      <c r="I5">
        <v>1.545933718364997E-2</v>
      </c>
    </row>
    <row r="6" spans="1:11" x14ac:dyDescent="0.2">
      <c r="A6">
        <v>1.0300925925922355E-3</v>
      </c>
      <c r="B6">
        <v>0.64300000000000002</v>
      </c>
      <c r="C6">
        <f t="shared" si="0"/>
        <v>0.56236238522447479</v>
      </c>
      <c r="F6" t="s">
        <v>35</v>
      </c>
      <c r="G6" t="s">
        <v>36</v>
      </c>
      <c r="H6">
        <v>154.12184331945286</v>
      </c>
      <c r="I6">
        <v>0.5676473547625982</v>
      </c>
    </row>
    <row r="7" spans="1:11" x14ac:dyDescent="0.2">
      <c r="A7">
        <v>1.5046296296292727E-3</v>
      </c>
      <c r="B7">
        <v>0.66400000000000003</v>
      </c>
      <c r="C7">
        <f t="shared" si="0"/>
        <v>0.57302691111596005</v>
      </c>
    </row>
    <row r="8" spans="1:11" x14ac:dyDescent="0.2">
      <c r="A8">
        <v>2.1412037037034093E-3</v>
      </c>
      <c r="B8">
        <v>0.67900000000000005</v>
      </c>
      <c r="C8">
        <f t="shared" si="0"/>
        <v>0.58702759212647493</v>
      </c>
    </row>
    <row r="9" spans="1:11" x14ac:dyDescent="0.2">
      <c r="A9">
        <v>2.9861111111108007E-3</v>
      </c>
      <c r="B9">
        <v>0.68700000000000006</v>
      </c>
      <c r="C9">
        <f t="shared" si="0"/>
        <v>0.60506902979236088</v>
      </c>
    </row>
    <row r="10" spans="1:11" x14ac:dyDescent="0.2">
      <c r="A10">
        <v>4.143518518518241E-3</v>
      </c>
      <c r="B10">
        <v>0.69599999999999995</v>
      </c>
      <c r="C10">
        <f t="shared" si="0"/>
        <v>0.62877907162439328</v>
      </c>
    </row>
    <row r="11" spans="1:11" x14ac:dyDescent="0.2">
      <c r="A11">
        <v>5.7175925925923021E-3</v>
      </c>
      <c r="B11">
        <v>0.7</v>
      </c>
      <c r="C11">
        <f t="shared" si="0"/>
        <v>0.65915629746308468</v>
      </c>
    </row>
    <row r="12" spans="1:11" x14ac:dyDescent="0.2">
      <c r="A12">
        <v>7.8587962962959335E-3</v>
      </c>
      <c r="B12">
        <v>0.70399999999999996</v>
      </c>
      <c r="C12">
        <f t="shared" si="0"/>
        <v>0.69700789011196207</v>
      </c>
    </row>
    <row r="13" spans="1:11" x14ac:dyDescent="0.2">
      <c r="A13">
        <v>1.0798611111110801E-2</v>
      </c>
      <c r="B13">
        <v>0.70699999999999996</v>
      </c>
      <c r="C13">
        <f t="shared" si="0"/>
        <v>0.74242649154902551</v>
      </c>
    </row>
    <row r="14" spans="1:11" x14ac:dyDescent="0.2">
      <c r="A14">
        <v>1.4826388888888431E-2</v>
      </c>
      <c r="B14">
        <v>0.71299999999999997</v>
      </c>
      <c r="C14">
        <f t="shared" si="0"/>
        <v>0.79225740141509959</v>
      </c>
    </row>
    <row r="15" spans="1:11" x14ac:dyDescent="0.2">
      <c r="A15">
        <v>2.0370370370370039E-2</v>
      </c>
      <c r="B15">
        <v>0.71599999999999997</v>
      </c>
      <c r="C15">
        <f t="shared" si="0"/>
        <v>0.83717376232934271</v>
      </c>
    </row>
    <row r="16" spans="1:11" x14ac:dyDescent="0.2">
      <c r="A16">
        <v>2.7974537037036784E-2</v>
      </c>
      <c r="B16">
        <v>0.72099999999999997</v>
      </c>
      <c r="C16">
        <f t="shared" si="0"/>
        <v>0.85356974531816832</v>
      </c>
    </row>
    <row r="17" spans="1:3" x14ac:dyDescent="0.2">
      <c r="A17">
        <v>3.8449074074073719E-2</v>
      </c>
      <c r="B17">
        <v>0.72299999999999998</v>
      </c>
      <c r="C17">
        <f t="shared" si="0"/>
        <v>0.78890760151287509</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17"/>
  <sheetViews>
    <sheetView workbookViewId="0">
      <selection activeCell="H27" sqref="H27"/>
    </sheetView>
  </sheetViews>
  <sheetFormatPr defaultRowHeight="12.75" x14ac:dyDescent="0.2"/>
  <sheetData>
    <row r="1" spans="1:2" x14ac:dyDescent="0.2">
      <c r="A1" t="s">
        <v>14</v>
      </c>
    </row>
    <row r="2" spans="1:2" x14ac:dyDescent="0.2">
      <c r="A2" t="s">
        <v>15</v>
      </c>
    </row>
    <row r="3" spans="1:2" x14ac:dyDescent="0.2">
      <c r="A3" t="s">
        <v>16</v>
      </c>
      <c r="B3" t="s">
        <v>17</v>
      </c>
    </row>
    <row r="4" spans="1:2" x14ac:dyDescent="0.2">
      <c r="A4" t="s">
        <v>18</v>
      </c>
    </row>
    <row r="5" spans="1:2" x14ac:dyDescent="0.2">
      <c r="A5" s="1" t="s">
        <v>19</v>
      </c>
    </row>
    <row r="7" spans="1:2" x14ac:dyDescent="0.2">
      <c r="A7" t="s">
        <v>20</v>
      </c>
    </row>
    <row r="8" spans="1:2" x14ac:dyDescent="0.2">
      <c r="A8" s="1" t="s">
        <v>21</v>
      </c>
    </row>
    <row r="10" spans="1:2" x14ac:dyDescent="0.2">
      <c r="A10" t="s">
        <v>22</v>
      </c>
    </row>
    <row r="12" spans="1:2" x14ac:dyDescent="0.2">
      <c r="A12" t="s">
        <v>23</v>
      </c>
    </row>
    <row r="16" spans="1:2" x14ac:dyDescent="0.2">
      <c r="A16" t="s">
        <v>24</v>
      </c>
    </row>
    <row r="17" spans="1:1" x14ac:dyDescent="0.2">
      <c r="A17" t="s">
        <v>25</v>
      </c>
    </row>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RLC 2 para</vt:lpstr>
      <vt:lpstr>RLC 3 para</vt:lpstr>
      <vt:lpstr>PI with resp</vt:lpstr>
      <vt:lpstr>Recovery</vt:lpstr>
      <vt:lpstr>Recovery 2</vt:lpstr>
      <vt:lpstr>readme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Runcie</dc:creator>
  <cp:lastModifiedBy>John Runcie</cp:lastModifiedBy>
  <dcterms:created xsi:type="dcterms:W3CDTF">2007-05-10T06:33:35Z</dcterms:created>
  <dcterms:modified xsi:type="dcterms:W3CDTF">2017-08-07T04:54:01Z</dcterms:modified>
</cp:coreProperties>
</file>